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diagrams/data5.xml" ContentType="application/vnd.openxmlformats-officedocument.drawingml.diagramData+xml"/>
  <Override PartName="/xl/diagrams/layout5.xml" ContentType="application/vnd.openxmlformats-officedocument.drawingml.diagramLayout+xml"/>
  <Override PartName="/xl/diagrams/quickStyle5.xml" ContentType="application/vnd.openxmlformats-officedocument.drawingml.diagramStyle+xml"/>
  <Override PartName="/xl/diagrams/colors5.xml" ContentType="application/vnd.openxmlformats-officedocument.drawingml.diagramColors+xml"/>
  <Override PartName="/xl/diagrams/drawing5.xml" ContentType="application/vnd.ms-office.drawingml.diagramDrawing+xml"/>
  <Override PartName="/xl/diagrams/data6.xml" ContentType="application/vnd.openxmlformats-officedocument.drawingml.diagramData+xml"/>
  <Override PartName="/xl/diagrams/layout6.xml" ContentType="application/vnd.openxmlformats-officedocument.drawingml.diagramLayout+xml"/>
  <Override PartName="/xl/diagrams/quickStyle6.xml" ContentType="application/vnd.openxmlformats-officedocument.drawingml.diagramStyle+xml"/>
  <Override PartName="/xl/diagrams/colors6.xml" ContentType="application/vnd.openxmlformats-officedocument.drawingml.diagramColors+xml"/>
  <Override PartName="/xl/diagrams/drawing6.xml" ContentType="application/vnd.ms-office.drawingml.diagram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4.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5.xml" ContentType="application/vnd.openxmlformats-officedocument.drawing+xml"/>
  <Override PartName="/xl/tables/table11.xml" ContentType="application/vnd.openxmlformats-officedocument.spreadsheetml.table+xml"/>
  <Override PartName="/xl/drawings/drawing6.xml" ContentType="application/vnd.openxmlformats-officedocument.drawing+xml"/>
  <Override PartName="/xl/tables/table12.xml" ContentType="application/vnd.openxmlformats-officedocument.spreadsheetml.table+xml"/>
  <Override PartName="/xl/drawings/drawing7.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drawings/drawing8.xml" ContentType="application/vnd.openxmlformats-officedocument.drawing+xml"/>
  <Override PartName="/xl/tables/table17.xml" ContentType="application/vnd.openxmlformats-officedocument.spreadsheetml.table+xml"/>
  <Override PartName="/xl/drawings/drawing9.xml" ContentType="application/vnd.openxmlformats-officedocument.drawing+xml"/>
  <Override PartName="/xl/tables/table1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updateLinks="never" codeName="ThisWorkbook"/>
  <mc:AlternateContent xmlns:mc="http://schemas.openxmlformats.org/markup-compatibility/2006">
    <mc:Choice Requires="x15">
      <x15ac:absPath xmlns:x15ac="http://schemas.microsoft.com/office/spreadsheetml/2010/11/ac" url="\\172.16.2.142\db共有\13.テクニカルウオッチ\20200930公開\"/>
    </mc:Choice>
  </mc:AlternateContent>
  <xr:revisionPtr revIDLastSave="0" documentId="13_ncr:1_{0E619853-3B2C-4070-ACF8-8265B1F4B72A}" xr6:coauthVersionLast="45" xr6:coauthVersionMax="45" xr10:uidLastSave="{00000000-0000-0000-0000-000000000000}"/>
  <bookViews>
    <workbookView xWindow="-120" yWindow="-120" windowWidth="29040" windowHeight="15840" tabRatio="904" xr2:uid="{072C6498-AC1A-4C71-AA4C-6EED87FB0215}"/>
  </bookViews>
  <sheets>
    <sheet name="ソフトウェア脆弱性関連情報管理シートについて" sheetId="47" r:id="rId1"/>
    <sheet name="よく使われるソフトウェア一覧" sheetId="44" r:id="rId2"/>
    <sheet name="よく使われる収集先一覧" sheetId="45" r:id="rId3"/>
    <sheet name="緊急度・対応方針設定" sheetId="46" r:id="rId4"/>
    <sheet name="利用しているソフトウェア一覧" sheetId="42" r:id="rId5"/>
    <sheet name="バージョン情報の確認" sheetId="19" r:id="rId6"/>
    <sheet name="脆弱性関連情報の確認" sheetId="40" r:id="rId7"/>
    <sheet name="脆弱性の影響度確認" sheetId="12" r:id="rId8"/>
    <sheet name="脆弱性対策の適用判断" sheetId="26" r:id="rId9"/>
  </sheets>
  <definedNames>
    <definedName name="_xlnm._FilterDatabase" localSheetId="5" hidden="1">バージョン情報の確認!$A$3:$G$53</definedName>
    <definedName name="_xlnm._FilterDatabase" localSheetId="1" hidden="1">よく使われるソフトウェア一覧!$A$3:$F$33</definedName>
    <definedName name="_xlnm._FilterDatabase" localSheetId="2" hidden="1">よく使われる収集先一覧!#REF!</definedName>
    <definedName name="_xlnm._FilterDatabase" localSheetId="7" hidden="1">脆弱性の影響度確認!#REF!</definedName>
    <definedName name="_xlnm._FilterDatabase" localSheetId="6" hidden="1">脆弱性関連情報の確認!#REF!</definedName>
    <definedName name="_xlnm._FilterDatabase" localSheetId="8" hidden="1">脆弱性対策の適用判断!$A$3:$E$62</definedName>
    <definedName name="_xlnm._FilterDatabase" localSheetId="4" hidden="1">利用しているソフトウェア一覧!$A$3:$F$53</definedName>
    <definedName name="_xlnm.Print_Area" localSheetId="0">ソフトウェア脆弱性関連情報管理シートについて!$A$1:$C$76</definedName>
    <definedName name="_xlnm.Print_Area" localSheetId="1">よく使われるソフトウェア一覧!$A:$F</definedName>
    <definedName name="_xlnm.Print_Area" localSheetId="2">よく使われる収集先一覧!$A$1:$D$85</definedName>
    <definedName name="_xlnm.Print_Area" localSheetId="3">緊急度・対応方針設定!$A$1:$B$40</definedName>
    <definedName name="_xlnm.Print_Area" localSheetId="7">脆弱性の影響度確認!$A$1:$O$55</definedName>
    <definedName name="_xlnm.Print_Titles" localSheetId="5">バージョン情報の確認!$1:$3</definedName>
    <definedName name="_xlnm.Print_Titles" localSheetId="7">脆弱性の影響度確認!$1:$5</definedName>
    <definedName name="_xlnm.Print_Titles" localSheetId="6">脆弱性関連情報の確認!$1:$3</definedName>
    <definedName name="_xlnm.Print_Titles" localSheetId="8">脆弱性対策の適用判断!$1:$3</definedName>
    <definedName name="_xlnm.Print_Titles" localSheetId="4">利用しているソフトウェア一覧!$1:$3</definedName>
    <definedName name="Z_0206434A_EEF4_4C22_AB73_936846DFCB8F_.wvu.FilterData" localSheetId="5" hidden="1">バージョン情報の確認!$B$3:$B$11</definedName>
    <definedName name="Z_0206434A_EEF4_4C22_AB73_936846DFCB8F_.wvu.FilterData" localSheetId="1" hidden="1">よく使われるソフトウェア一覧!$B$3:$B$9</definedName>
    <definedName name="Z_0206434A_EEF4_4C22_AB73_936846DFCB8F_.wvu.FilterData" localSheetId="2" hidden="1">よく使われる収集先一覧!#REF!</definedName>
    <definedName name="Z_0206434A_EEF4_4C22_AB73_936846DFCB8F_.wvu.FilterData" localSheetId="7" hidden="1">脆弱性の影響度確認!$B$5:$E$15</definedName>
    <definedName name="Z_0206434A_EEF4_4C22_AB73_936846DFCB8F_.wvu.FilterData" localSheetId="6" hidden="1">脆弱性関連情報の確認!#REF!</definedName>
    <definedName name="Z_0206434A_EEF4_4C22_AB73_936846DFCB8F_.wvu.FilterData" localSheetId="4" hidden="1">利用しているソフトウェア一覧!$B$3:$B$11</definedName>
    <definedName name="Z_306AD0E7_1AC4_4E17_B91F_DF02FE4DF7E4_.wvu.FilterData" localSheetId="5" hidden="1">バージョン情報の確認!$B$3:$B$11</definedName>
    <definedName name="Z_306AD0E7_1AC4_4E17_B91F_DF02FE4DF7E4_.wvu.FilterData" localSheetId="1" hidden="1">よく使われるソフトウェア一覧!$B$3:$B$9</definedName>
    <definedName name="Z_306AD0E7_1AC4_4E17_B91F_DF02FE4DF7E4_.wvu.FilterData" localSheetId="2" hidden="1">よく使われる収集先一覧!#REF!</definedName>
    <definedName name="Z_306AD0E7_1AC4_4E17_B91F_DF02FE4DF7E4_.wvu.FilterData" localSheetId="7" hidden="1">脆弱性の影響度確認!$B$5:$E$15</definedName>
    <definedName name="Z_306AD0E7_1AC4_4E17_B91F_DF02FE4DF7E4_.wvu.FilterData" localSheetId="6" hidden="1">脆弱性関連情報の確認!#REF!</definedName>
    <definedName name="Z_306AD0E7_1AC4_4E17_B91F_DF02FE4DF7E4_.wvu.FilterData" localSheetId="4" hidden="1">利用しているソフトウェア一覧!$B$3:$B$11</definedName>
    <definedName name="Z_4C587519_9B56_4E7B_A0F4_27855C91DE1E_.wvu.FilterData" localSheetId="5" hidden="1">バージョン情報の確認!$B$3:$B$11</definedName>
    <definedName name="Z_4C587519_9B56_4E7B_A0F4_27855C91DE1E_.wvu.FilterData" localSheetId="1" hidden="1">よく使われるソフトウェア一覧!$B$3:$B$9</definedName>
    <definedName name="Z_4C587519_9B56_4E7B_A0F4_27855C91DE1E_.wvu.FilterData" localSheetId="2" hidden="1">よく使われる収集先一覧!#REF!</definedName>
    <definedName name="Z_4C587519_9B56_4E7B_A0F4_27855C91DE1E_.wvu.FilterData" localSheetId="7" hidden="1">脆弱性の影響度確認!$B$5:$E$15</definedName>
    <definedName name="Z_4C587519_9B56_4E7B_A0F4_27855C91DE1E_.wvu.FilterData" localSheetId="6" hidden="1">脆弱性関連情報の確認!#REF!</definedName>
    <definedName name="Z_4C587519_9B56_4E7B_A0F4_27855C91DE1E_.wvu.FilterData" localSheetId="4" hidden="1">利用しているソフトウェア一覧!$B$3:$B$11</definedName>
    <definedName name="Z_63D8B4AB_0ABD_4A29_A2CE_E2053301439C_.wvu.FilterData" localSheetId="5" hidden="1">バージョン情報の確認!$B$3:$B$11</definedName>
    <definedName name="Z_63D8B4AB_0ABD_4A29_A2CE_E2053301439C_.wvu.FilterData" localSheetId="1" hidden="1">よく使われるソフトウェア一覧!$B$3:$B$9</definedName>
    <definedName name="Z_63D8B4AB_0ABD_4A29_A2CE_E2053301439C_.wvu.FilterData" localSheetId="2" hidden="1">よく使われる収集先一覧!#REF!</definedName>
    <definedName name="Z_63D8B4AB_0ABD_4A29_A2CE_E2053301439C_.wvu.FilterData" localSheetId="7" hidden="1">脆弱性の影響度確認!$B$5:$E$15</definedName>
    <definedName name="Z_63D8B4AB_0ABD_4A29_A2CE_E2053301439C_.wvu.FilterData" localSheetId="6" hidden="1">脆弱性関連情報の確認!#REF!</definedName>
    <definedName name="Z_63D8B4AB_0ABD_4A29_A2CE_E2053301439C_.wvu.FilterData" localSheetId="4" hidden="1">利用しているソフトウェア一覧!$B$3:$B$11</definedName>
    <definedName name="Z_763C57A4_9BDB_49FA_B916_A68842109E1A_.wvu.FilterData" localSheetId="5" hidden="1">バージョン情報の確認!$B$3:$B$11</definedName>
    <definedName name="Z_763C57A4_9BDB_49FA_B916_A68842109E1A_.wvu.FilterData" localSheetId="1" hidden="1">よく使われるソフトウェア一覧!$B$3:$B$9</definedName>
    <definedName name="Z_763C57A4_9BDB_49FA_B916_A68842109E1A_.wvu.FilterData" localSheetId="2" hidden="1">よく使われる収集先一覧!#REF!</definedName>
    <definedName name="Z_763C57A4_9BDB_49FA_B916_A68842109E1A_.wvu.FilterData" localSheetId="7" hidden="1">脆弱性の影響度確認!$B$5:$E$15</definedName>
    <definedName name="Z_763C57A4_9BDB_49FA_B916_A68842109E1A_.wvu.FilterData" localSheetId="6" hidden="1">脆弱性関連情報の確認!#REF!</definedName>
    <definedName name="Z_763C57A4_9BDB_49FA_B916_A68842109E1A_.wvu.FilterData" localSheetId="4" hidden="1">利用しているソフトウェア一覧!$B$3:$B$11</definedName>
    <definedName name="Z_7CF24A06_4FA7_4F29_9A36_B15F89CE6BF8_.wvu.FilterData" localSheetId="5" hidden="1">バージョン情報の確認!#REF!</definedName>
    <definedName name="Z_7CF24A06_4FA7_4F29_9A36_B15F89CE6BF8_.wvu.FilterData" localSheetId="1" hidden="1">よく使われるソフトウェア一覧!#REF!</definedName>
    <definedName name="Z_7CF24A06_4FA7_4F29_9A36_B15F89CE6BF8_.wvu.FilterData" localSheetId="2" hidden="1">よく使われる収集先一覧!#REF!</definedName>
    <definedName name="Z_7CF24A06_4FA7_4F29_9A36_B15F89CE6BF8_.wvu.FilterData" localSheetId="7" hidden="1">脆弱性の影響度確認!#REF!</definedName>
    <definedName name="Z_7CF24A06_4FA7_4F29_9A36_B15F89CE6BF8_.wvu.FilterData" localSheetId="6" hidden="1">脆弱性関連情報の確認!#REF!</definedName>
    <definedName name="Z_7CF24A06_4FA7_4F29_9A36_B15F89CE6BF8_.wvu.FilterData" localSheetId="4" hidden="1">利用しているソフトウェア一覧!#REF!</definedName>
    <definedName name="Z_92E40B39_02DC_4C15_9B96_D049369228D6_.wvu.Cols" localSheetId="5" hidden="1">バージョン情報の確認!#REF!,バージョン情報の確認!#REF!</definedName>
    <definedName name="Z_92E40B39_02DC_4C15_9B96_D049369228D6_.wvu.Cols" localSheetId="1" hidden="1">よく使われるソフトウェア一覧!#REF!,よく使われるソフトウェア一覧!#REF!</definedName>
    <definedName name="Z_92E40B39_02DC_4C15_9B96_D049369228D6_.wvu.Cols" localSheetId="2" hidden="1">よく使われる収集先一覧!#REF!,よく使われる収集先一覧!#REF!</definedName>
    <definedName name="Z_92E40B39_02DC_4C15_9B96_D049369228D6_.wvu.Cols" localSheetId="7" hidden="1">脆弱性の影響度確認!#REF!,脆弱性の影響度確認!#REF!</definedName>
    <definedName name="Z_92E40B39_02DC_4C15_9B96_D049369228D6_.wvu.Cols" localSheetId="6" hidden="1">脆弱性関連情報の確認!#REF!,脆弱性関連情報の確認!#REF!</definedName>
    <definedName name="Z_92E40B39_02DC_4C15_9B96_D049369228D6_.wvu.Cols" localSheetId="4" hidden="1">利用しているソフトウェア一覧!#REF!,利用しているソフトウェア一覧!#REF!</definedName>
    <definedName name="Z_92E40B39_02DC_4C15_9B96_D049369228D6_.wvu.FilterData" localSheetId="5" hidden="1">バージョン情報の確認!$A$2:$D$9</definedName>
    <definedName name="Z_92E40B39_02DC_4C15_9B96_D049369228D6_.wvu.FilterData" localSheetId="1" hidden="1">よく使われるソフトウェア一覧!$A$2:$C$9</definedName>
    <definedName name="Z_92E40B39_02DC_4C15_9B96_D049369228D6_.wvu.FilterData" localSheetId="2" hidden="1">よく使われる収集先一覧!#REF!</definedName>
    <definedName name="Z_92E40B39_02DC_4C15_9B96_D049369228D6_.wvu.FilterData" localSheetId="7" hidden="1">脆弱性の影響度確認!$A$5:$E$12</definedName>
    <definedName name="Z_92E40B39_02DC_4C15_9B96_D049369228D6_.wvu.FilterData" localSheetId="6" hidden="1">脆弱性関連情報の確認!#REF!</definedName>
    <definedName name="Z_92E40B39_02DC_4C15_9B96_D049369228D6_.wvu.FilterData" localSheetId="4" hidden="1">利用しているソフトウェア一覧!$A$2:$C$9</definedName>
    <definedName name="Z_99FD977B_002F_4E4C_BC86_C9D17450C4C9_.wvu.Cols" localSheetId="5" hidden="1">バージョン情報の確認!#REF!</definedName>
    <definedName name="Z_99FD977B_002F_4E4C_BC86_C9D17450C4C9_.wvu.Cols" localSheetId="1" hidden="1">よく使われるソフトウェア一覧!#REF!</definedName>
    <definedName name="Z_99FD977B_002F_4E4C_BC86_C9D17450C4C9_.wvu.Cols" localSheetId="2" hidden="1">よく使われる収集先一覧!#REF!</definedName>
    <definedName name="Z_99FD977B_002F_4E4C_BC86_C9D17450C4C9_.wvu.Cols" localSheetId="7" hidden="1">脆弱性の影響度確認!#REF!</definedName>
    <definedName name="Z_99FD977B_002F_4E4C_BC86_C9D17450C4C9_.wvu.Cols" localSheetId="6" hidden="1">脆弱性関連情報の確認!#REF!</definedName>
    <definedName name="Z_99FD977B_002F_4E4C_BC86_C9D17450C4C9_.wvu.Cols" localSheetId="4" hidden="1">利用しているソフトウェア一覧!#REF!</definedName>
    <definedName name="Z_99FD977B_002F_4E4C_BC86_C9D17450C4C9_.wvu.FilterData" localSheetId="5" hidden="1">バージョン情報の確認!$B$3:$B$11</definedName>
    <definedName name="Z_99FD977B_002F_4E4C_BC86_C9D17450C4C9_.wvu.FilterData" localSheetId="1" hidden="1">よく使われるソフトウェア一覧!$B$3:$B$9</definedName>
    <definedName name="Z_99FD977B_002F_4E4C_BC86_C9D17450C4C9_.wvu.FilterData" localSheetId="2" hidden="1">よく使われる収集先一覧!#REF!</definedName>
    <definedName name="Z_99FD977B_002F_4E4C_BC86_C9D17450C4C9_.wvu.FilterData" localSheetId="7" hidden="1">脆弱性の影響度確認!$B$5:$E$15</definedName>
    <definedName name="Z_99FD977B_002F_4E4C_BC86_C9D17450C4C9_.wvu.FilterData" localSheetId="6" hidden="1">脆弱性関連情報の確認!#REF!</definedName>
    <definedName name="Z_99FD977B_002F_4E4C_BC86_C9D17450C4C9_.wvu.FilterData" localSheetId="4" hidden="1">利用しているソフトウェア一覧!$B$3:$B$11</definedName>
    <definedName name="Z_A532FED3_A9FD_418B_96D5_9CA78A46F30A_.wvu.Cols" localSheetId="5" hidden="1">バージョン情報の確認!#REF!</definedName>
    <definedName name="Z_A532FED3_A9FD_418B_96D5_9CA78A46F30A_.wvu.Cols" localSheetId="1" hidden="1">よく使われるソフトウェア一覧!#REF!</definedName>
    <definedName name="Z_A532FED3_A9FD_418B_96D5_9CA78A46F30A_.wvu.Cols" localSheetId="2" hidden="1">よく使われる収集先一覧!#REF!</definedName>
    <definedName name="Z_A532FED3_A9FD_418B_96D5_9CA78A46F30A_.wvu.Cols" localSheetId="7" hidden="1">脆弱性の影響度確認!#REF!</definedName>
    <definedName name="Z_A532FED3_A9FD_418B_96D5_9CA78A46F30A_.wvu.Cols" localSheetId="6" hidden="1">脆弱性関連情報の確認!#REF!</definedName>
    <definedName name="Z_A532FED3_A9FD_418B_96D5_9CA78A46F30A_.wvu.Cols" localSheetId="4" hidden="1">利用しているソフトウェア一覧!#REF!</definedName>
    <definedName name="Z_A532FED3_A9FD_418B_96D5_9CA78A46F30A_.wvu.FilterData" localSheetId="5" hidden="1">バージョン情報の確認!$B$3:$B$11</definedName>
    <definedName name="Z_A532FED3_A9FD_418B_96D5_9CA78A46F30A_.wvu.FilterData" localSheetId="1" hidden="1">よく使われるソフトウェア一覧!$B$3:$B$9</definedName>
    <definedName name="Z_A532FED3_A9FD_418B_96D5_9CA78A46F30A_.wvu.FilterData" localSheetId="2" hidden="1">よく使われる収集先一覧!#REF!</definedName>
    <definedName name="Z_A532FED3_A9FD_418B_96D5_9CA78A46F30A_.wvu.FilterData" localSheetId="7" hidden="1">脆弱性の影響度確認!$B$5:$E$15</definedName>
    <definedName name="Z_A532FED3_A9FD_418B_96D5_9CA78A46F30A_.wvu.FilterData" localSheetId="6" hidden="1">脆弱性関連情報の確認!#REF!</definedName>
    <definedName name="Z_A532FED3_A9FD_418B_96D5_9CA78A46F30A_.wvu.FilterData" localSheetId="4" hidden="1">利用しているソフトウェア一覧!$B$3:$B$11</definedName>
    <definedName name="Z_A9401DBA_3141_47FF_85FB_2269D0D9C3E5_.wvu.FilterData" localSheetId="5" hidden="1">バージョン情報の確認!$B$3:$B$11</definedName>
    <definedName name="Z_A9401DBA_3141_47FF_85FB_2269D0D9C3E5_.wvu.FilterData" localSheetId="1" hidden="1">よく使われるソフトウェア一覧!$B$3:$B$9</definedName>
    <definedName name="Z_A9401DBA_3141_47FF_85FB_2269D0D9C3E5_.wvu.FilterData" localSheetId="2" hidden="1">よく使われる収集先一覧!#REF!</definedName>
    <definedName name="Z_A9401DBA_3141_47FF_85FB_2269D0D9C3E5_.wvu.FilterData" localSheetId="7" hidden="1">脆弱性の影響度確認!$B$5:$E$15</definedName>
    <definedName name="Z_A9401DBA_3141_47FF_85FB_2269D0D9C3E5_.wvu.FilterData" localSheetId="6" hidden="1">脆弱性関連情報の確認!#REF!</definedName>
    <definedName name="Z_A9401DBA_3141_47FF_85FB_2269D0D9C3E5_.wvu.FilterData" localSheetId="4" hidden="1">利用しているソフトウェア一覧!$B$3:$B$11</definedName>
    <definedName name="Z_ADE9A051_607F_4906_9FC5_D81F43023B0F_.wvu.Cols" localSheetId="5" hidden="1">バージョン情報の確認!#REF!</definedName>
    <definedName name="Z_ADE9A051_607F_4906_9FC5_D81F43023B0F_.wvu.Cols" localSheetId="1" hidden="1">よく使われるソフトウェア一覧!#REF!</definedName>
    <definedName name="Z_ADE9A051_607F_4906_9FC5_D81F43023B0F_.wvu.Cols" localSheetId="2" hidden="1">よく使われる収集先一覧!#REF!</definedName>
    <definedName name="Z_ADE9A051_607F_4906_9FC5_D81F43023B0F_.wvu.Cols" localSheetId="7" hidden="1">脆弱性の影響度確認!#REF!</definedName>
    <definedName name="Z_ADE9A051_607F_4906_9FC5_D81F43023B0F_.wvu.Cols" localSheetId="6" hidden="1">脆弱性関連情報の確認!#REF!</definedName>
    <definedName name="Z_ADE9A051_607F_4906_9FC5_D81F43023B0F_.wvu.Cols" localSheetId="4" hidden="1">利用しているソフトウェア一覧!#REF!</definedName>
    <definedName name="Z_ADE9A051_607F_4906_9FC5_D81F43023B0F_.wvu.FilterData" localSheetId="5" hidden="1">バージョン情報の確認!$B$3:$B$11</definedName>
    <definedName name="Z_ADE9A051_607F_4906_9FC5_D81F43023B0F_.wvu.FilterData" localSheetId="1" hidden="1">よく使われるソフトウェア一覧!$B$3:$B$9</definedName>
    <definedName name="Z_ADE9A051_607F_4906_9FC5_D81F43023B0F_.wvu.FilterData" localSheetId="2" hidden="1">よく使われる収集先一覧!#REF!</definedName>
    <definedName name="Z_ADE9A051_607F_4906_9FC5_D81F43023B0F_.wvu.FilterData" localSheetId="7" hidden="1">脆弱性の影響度確認!$B$5:$E$15</definedName>
    <definedName name="Z_ADE9A051_607F_4906_9FC5_D81F43023B0F_.wvu.FilterData" localSheetId="6" hidden="1">脆弱性関連情報の確認!#REF!</definedName>
    <definedName name="Z_ADE9A051_607F_4906_9FC5_D81F43023B0F_.wvu.FilterData" localSheetId="4" hidden="1">利用しているソフトウェア一覧!$B$3:$B$11</definedName>
    <definedName name="Z_BB21F2CC_1AE5_454E_93AC_F4774AB3F2FA_.wvu.Cols" localSheetId="5" hidden="1">バージョン情報の確認!#REF!</definedName>
    <definedName name="Z_BB21F2CC_1AE5_454E_93AC_F4774AB3F2FA_.wvu.Cols" localSheetId="1" hidden="1">よく使われるソフトウェア一覧!#REF!</definedName>
    <definedName name="Z_BB21F2CC_1AE5_454E_93AC_F4774AB3F2FA_.wvu.Cols" localSheetId="2" hidden="1">よく使われる収集先一覧!#REF!</definedName>
    <definedName name="Z_BB21F2CC_1AE5_454E_93AC_F4774AB3F2FA_.wvu.Cols" localSheetId="7" hidden="1">脆弱性の影響度確認!#REF!</definedName>
    <definedName name="Z_BB21F2CC_1AE5_454E_93AC_F4774AB3F2FA_.wvu.Cols" localSheetId="6" hidden="1">脆弱性関連情報の確認!#REF!</definedName>
    <definedName name="Z_BB21F2CC_1AE5_454E_93AC_F4774AB3F2FA_.wvu.Cols" localSheetId="4" hidden="1">利用しているソフトウェア一覧!#REF!</definedName>
    <definedName name="Z_BB21F2CC_1AE5_454E_93AC_F4774AB3F2FA_.wvu.FilterData" localSheetId="5" hidden="1">バージョン情報の確認!$B$3:$B$11</definedName>
    <definedName name="Z_BB21F2CC_1AE5_454E_93AC_F4774AB3F2FA_.wvu.FilterData" localSheetId="1" hidden="1">よく使われるソフトウェア一覧!$B$3:$B$9</definedName>
    <definedName name="Z_BB21F2CC_1AE5_454E_93AC_F4774AB3F2FA_.wvu.FilterData" localSheetId="2" hidden="1">よく使われる収集先一覧!#REF!</definedName>
    <definedName name="Z_BB21F2CC_1AE5_454E_93AC_F4774AB3F2FA_.wvu.FilterData" localSheetId="7" hidden="1">脆弱性の影響度確認!$B$5:$E$15</definedName>
    <definedName name="Z_BB21F2CC_1AE5_454E_93AC_F4774AB3F2FA_.wvu.FilterData" localSheetId="6" hidden="1">脆弱性関連情報の確認!#REF!</definedName>
    <definedName name="Z_BB21F2CC_1AE5_454E_93AC_F4774AB3F2FA_.wvu.FilterData" localSheetId="4" hidden="1">利用しているソフトウェア一覧!$B$3:$B$11</definedName>
    <definedName name="Z_C9C5F067_146C_4097_ACF7_B493A982576F_.wvu.Cols" localSheetId="5" hidden="1">バージョン情報の確認!#REF!</definedName>
    <definedName name="Z_C9C5F067_146C_4097_ACF7_B493A982576F_.wvu.Cols" localSheetId="1" hidden="1">よく使われるソフトウェア一覧!#REF!</definedName>
    <definedName name="Z_C9C5F067_146C_4097_ACF7_B493A982576F_.wvu.Cols" localSheetId="2" hidden="1">よく使われる収集先一覧!#REF!</definedName>
    <definedName name="Z_C9C5F067_146C_4097_ACF7_B493A982576F_.wvu.Cols" localSheetId="7" hidden="1">脆弱性の影響度確認!#REF!</definedName>
    <definedName name="Z_C9C5F067_146C_4097_ACF7_B493A982576F_.wvu.Cols" localSheetId="6" hidden="1">脆弱性関連情報の確認!#REF!</definedName>
    <definedName name="Z_C9C5F067_146C_4097_ACF7_B493A982576F_.wvu.Cols" localSheetId="4" hidden="1">利用しているソフトウェア一覧!#REF!</definedName>
    <definedName name="Z_C9C5F067_146C_4097_ACF7_B493A982576F_.wvu.FilterData" localSheetId="5" hidden="1">バージョン情報の確認!$B$3:$B$11</definedName>
    <definedName name="Z_C9C5F067_146C_4097_ACF7_B493A982576F_.wvu.FilterData" localSheetId="1" hidden="1">よく使われるソフトウェア一覧!$B$3:$B$9</definedName>
    <definedName name="Z_C9C5F067_146C_4097_ACF7_B493A982576F_.wvu.FilterData" localSheetId="2" hidden="1">よく使われる収集先一覧!#REF!</definedName>
    <definedName name="Z_C9C5F067_146C_4097_ACF7_B493A982576F_.wvu.FilterData" localSheetId="7" hidden="1">脆弱性の影響度確認!$B$5:$E$15</definedName>
    <definedName name="Z_C9C5F067_146C_4097_ACF7_B493A982576F_.wvu.FilterData" localSheetId="6" hidden="1">脆弱性関連情報の確認!#REF!</definedName>
    <definedName name="Z_C9C5F067_146C_4097_ACF7_B493A982576F_.wvu.FilterData" localSheetId="4" hidden="1">利用しているソフトウェア一覧!$B$3:$B$11</definedName>
    <definedName name="Z_CB09FFCC_454F_40B2_A8AC_01CCBDB1A9E7_.wvu.Cols" localSheetId="5" hidden="1">バージョン情報の確認!#REF!</definedName>
    <definedName name="Z_CB09FFCC_454F_40B2_A8AC_01CCBDB1A9E7_.wvu.Cols" localSheetId="1" hidden="1">よく使われるソフトウェア一覧!#REF!</definedName>
    <definedName name="Z_CB09FFCC_454F_40B2_A8AC_01CCBDB1A9E7_.wvu.Cols" localSheetId="2" hidden="1">よく使われる収集先一覧!#REF!</definedName>
    <definedName name="Z_CB09FFCC_454F_40B2_A8AC_01CCBDB1A9E7_.wvu.Cols" localSheetId="7" hidden="1">脆弱性の影響度確認!#REF!</definedName>
    <definedName name="Z_CB09FFCC_454F_40B2_A8AC_01CCBDB1A9E7_.wvu.Cols" localSheetId="6" hidden="1">脆弱性関連情報の確認!#REF!</definedName>
    <definedName name="Z_CB09FFCC_454F_40B2_A8AC_01CCBDB1A9E7_.wvu.Cols" localSheetId="4" hidden="1">利用しているソフトウェア一覧!#REF!</definedName>
    <definedName name="Z_CB09FFCC_454F_40B2_A8AC_01CCBDB1A9E7_.wvu.FilterData" localSheetId="5" hidden="1">バージョン情報の確認!$B$3:$B$11</definedName>
    <definedName name="Z_CB09FFCC_454F_40B2_A8AC_01CCBDB1A9E7_.wvu.FilterData" localSheetId="1" hidden="1">よく使われるソフトウェア一覧!$B$3:$B$9</definedName>
    <definedName name="Z_CB09FFCC_454F_40B2_A8AC_01CCBDB1A9E7_.wvu.FilterData" localSheetId="2" hidden="1">よく使われる収集先一覧!#REF!</definedName>
    <definedName name="Z_CB09FFCC_454F_40B2_A8AC_01CCBDB1A9E7_.wvu.FilterData" localSheetId="7" hidden="1">脆弱性の影響度確認!$B$5:$E$15</definedName>
    <definedName name="Z_CB09FFCC_454F_40B2_A8AC_01CCBDB1A9E7_.wvu.FilterData" localSheetId="6" hidden="1">脆弱性関連情報の確認!#REF!</definedName>
    <definedName name="Z_CB09FFCC_454F_40B2_A8AC_01CCBDB1A9E7_.wvu.FilterData" localSheetId="4" hidden="1">利用しているソフトウェア一覧!$B$3:$B$11</definedName>
    <definedName name="Z_CD8F6CE0_E60F_4D8A_AABF_3BD5D32EC90F_.wvu.FilterData" localSheetId="5" hidden="1">バージョン情報の確認!$A$2:$D$9</definedName>
    <definedName name="Z_CD8F6CE0_E60F_4D8A_AABF_3BD5D32EC90F_.wvu.FilterData" localSheetId="1" hidden="1">よく使われるソフトウェア一覧!$A$2:$C$9</definedName>
    <definedName name="Z_CD8F6CE0_E60F_4D8A_AABF_3BD5D32EC90F_.wvu.FilterData" localSheetId="2" hidden="1">よく使われる収集先一覧!#REF!</definedName>
    <definedName name="Z_CD8F6CE0_E60F_4D8A_AABF_3BD5D32EC90F_.wvu.FilterData" localSheetId="7" hidden="1">脆弱性の影響度確認!$A$5:$E$12</definedName>
    <definedName name="Z_CD8F6CE0_E60F_4D8A_AABF_3BD5D32EC90F_.wvu.FilterData" localSheetId="6" hidden="1">脆弱性関連情報の確認!#REF!</definedName>
    <definedName name="Z_CD8F6CE0_E60F_4D8A_AABF_3BD5D32EC90F_.wvu.FilterData" localSheetId="4" hidden="1">利用しているソフトウェア一覧!$A$2:$C$9</definedName>
    <definedName name="Z_E8B0CE27_5E3D_4647_8D0A_FF17502B3604_.wvu.Cols" localSheetId="5" hidden="1">バージョン情報の確認!#REF!</definedName>
    <definedName name="Z_E8B0CE27_5E3D_4647_8D0A_FF17502B3604_.wvu.Cols" localSheetId="1" hidden="1">よく使われるソフトウェア一覧!#REF!</definedName>
    <definedName name="Z_E8B0CE27_5E3D_4647_8D0A_FF17502B3604_.wvu.Cols" localSheetId="2" hidden="1">よく使われる収集先一覧!#REF!</definedName>
    <definedName name="Z_E8B0CE27_5E3D_4647_8D0A_FF17502B3604_.wvu.Cols" localSheetId="7" hidden="1">脆弱性の影響度確認!#REF!</definedName>
    <definedName name="Z_E8B0CE27_5E3D_4647_8D0A_FF17502B3604_.wvu.Cols" localSheetId="6" hidden="1">脆弱性関連情報の確認!#REF!</definedName>
    <definedName name="Z_E8B0CE27_5E3D_4647_8D0A_FF17502B3604_.wvu.Cols" localSheetId="4" hidden="1">利用しているソフトウェア一覧!#REF!</definedName>
    <definedName name="Z_E8B0CE27_5E3D_4647_8D0A_FF17502B3604_.wvu.FilterData" localSheetId="5" hidden="1">バージョン情報の確認!$B$3:$B$11</definedName>
    <definedName name="Z_E8B0CE27_5E3D_4647_8D0A_FF17502B3604_.wvu.FilterData" localSheetId="1" hidden="1">よく使われるソフトウェア一覧!$B$3:$B$9</definedName>
    <definedName name="Z_E8B0CE27_5E3D_4647_8D0A_FF17502B3604_.wvu.FilterData" localSheetId="2" hidden="1">よく使われる収集先一覧!#REF!</definedName>
    <definedName name="Z_E8B0CE27_5E3D_4647_8D0A_FF17502B3604_.wvu.FilterData" localSheetId="7" hidden="1">脆弱性の影響度確認!$B$5:$E$15</definedName>
    <definedName name="Z_E8B0CE27_5E3D_4647_8D0A_FF17502B3604_.wvu.FilterData" localSheetId="6" hidden="1">脆弱性関連情報の確認!#REF!</definedName>
    <definedName name="Z_E8B0CE27_5E3D_4647_8D0A_FF17502B3604_.wvu.FilterData" localSheetId="4" hidden="1">利用しているソフトウェア一覧!$B$3:$B$11</definedName>
    <definedName name="Z_F347937C_C2F2_4410_B212_BAD948573C09_.wvu.Cols" localSheetId="5" hidden="1">バージョン情報の確認!#REF!</definedName>
    <definedName name="Z_F347937C_C2F2_4410_B212_BAD948573C09_.wvu.Cols" localSheetId="1" hidden="1">よく使われるソフトウェア一覧!#REF!</definedName>
    <definedName name="Z_F347937C_C2F2_4410_B212_BAD948573C09_.wvu.Cols" localSheetId="2" hidden="1">よく使われる収集先一覧!#REF!</definedName>
    <definedName name="Z_F347937C_C2F2_4410_B212_BAD948573C09_.wvu.Cols" localSheetId="7" hidden="1">脆弱性の影響度確認!#REF!</definedName>
    <definedName name="Z_F347937C_C2F2_4410_B212_BAD948573C09_.wvu.Cols" localSheetId="6" hidden="1">脆弱性関連情報の確認!#REF!</definedName>
    <definedName name="Z_F347937C_C2F2_4410_B212_BAD948573C09_.wvu.Cols" localSheetId="4" hidden="1">利用しているソフトウェア一覧!#REF!</definedName>
    <definedName name="Z_F347937C_C2F2_4410_B212_BAD948573C09_.wvu.FilterData" localSheetId="5" hidden="1">バージョン情報の確認!$B$3:$B$11</definedName>
    <definedName name="Z_F347937C_C2F2_4410_B212_BAD948573C09_.wvu.FilterData" localSheetId="1" hidden="1">よく使われるソフトウェア一覧!$B$3:$B$9</definedName>
    <definedName name="Z_F347937C_C2F2_4410_B212_BAD948573C09_.wvu.FilterData" localSheetId="2" hidden="1">よく使われる収集先一覧!#REF!</definedName>
    <definedName name="Z_F347937C_C2F2_4410_B212_BAD948573C09_.wvu.FilterData" localSheetId="7" hidden="1">脆弱性の影響度確認!$B$5:$E$15</definedName>
    <definedName name="Z_F347937C_C2F2_4410_B212_BAD948573C09_.wvu.FilterData" localSheetId="6" hidden="1">脆弱性関連情報の確認!#REF!</definedName>
    <definedName name="Z_F347937C_C2F2_4410_B212_BAD948573C09_.wvu.FilterData" localSheetId="4" hidden="1">利用しているソフトウェア一覧!$B$3:$B$11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 i="26" l="1" a="1"/>
  <c r="F4" i="26" s="1"/>
  <c r="E4" i="26"/>
  <c r="D4" i="26"/>
  <c r="C4" i="26"/>
  <c r="B4" i="26" a="1"/>
  <c r="B4" i="26" s="1"/>
  <c r="P6" i="12" a="1"/>
  <c r="P6" i="12" s="1"/>
  <c r="N4" i="40"/>
  <c r="I4" i="40"/>
  <c r="C4" i="40"/>
  <c r="E4" i="19"/>
  <c r="C4" i="19"/>
  <c r="B4" i="19"/>
  <c r="D4" i="42"/>
  <c r="C4" i="42" l="1"/>
  <c r="E15" i="44" l="1"/>
  <c r="F33" i="44"/>
  <c r="F32" i="44"/>
  <c r="F31" i="44"/>
  <c r="F30" i="44"/>
  <c r="F29" i="44"/>
  <c r="F28" i="44"/>
  <c r="F27" i="44"/>
  <c r="F26" i="44"/>
  <c r="F25" i="44"/>
  <c r="F24" i="44"/>
  <c r="F23" i="44"/>
  <c r="F22" i="44"/>
  <c r="F21" i="44"/>
  <c r="F20" i="44"/>
  <c r="F19" i="44"/>
  <c r="F18" i="44"/>
  <c r="F17" i="44"/>
  <c r="F16" i="44"/>
  <c r="F15" i="44"/>
  <c r="F14" i="44"/>
  <c r="F13" i="44"/>
  <c r="F12" i="44"/>
  <c r="F11" i="44"/>
  <c r="F10" i="44"/>
  <c r="F8" i="44"/>
  <c r="F9" i="44"/>
  <c r="F7" i="44"/>
  <c r="F6" i="44"/>
  <c r="F5" i="44"/>
  <c r="F4" i="44"/>
  <c r="E33" i="44"/>
  <c r="E32" i="44"/>
  <c r="E28" i="44"/>
  <c r="E27" i="44"/>
  <c r="E26" i="44"/>
  <c r="E25" i="44"/>
  <c r="E24" i="44"/>
  <c r="E23" i="44"/>
  <c r="E22" i="44"/>
  <c r="E21" i="44"/>
  <c r="E20" i="44"/>
  <c r="E18" i="44"/>
  <c r="E17" i="44"/>
  <c r="E16" i="44"/>
  <c r="E14" i="44"/>
  <c r="E13" i="44"/>
  <c r="E4" i="44"/>
  <c r="E5" i="44"/>
  <c r="E12" i="44"/>
  <c r="E11" i="44"/>
  <c r="E10" i="44"/>
  <c r="E8" i="44"/>
  <c r="E9" i="44"/>
  <c r="E7" i="44"/>
  <c r="E6" i="44"/>
  <c r="D33" i="44"/>
  <c r="D32" i="44"/>
  <c r="D31" i="44"/>
  <c r="D30" i="44"/>
  <c r="D29" i="44"/>
  <c r="D28" i="44"/>
  <c r="D27" i="44"/>
  <c r="D26" i="44"/>
  <c r="D25" i="44"/>
  <c r="D24" i="44"/>
  <c r="D23" i="44"/>
  <c r="D22" i="44"/>
  <c r="D21" i="44"/>
  <c r="D20" i="44"/>
  <c r="D19" i="44"/>
  <c r="D18" i="44"/>
  <c r="D17" i="44"/>
  <c r="D16" i="44"/>
  <c r="D15" i="44"/>
  <c r="D14" i="44"/>
  <c r="D12" i="44"/>
  <c r="D11" i="44"/>
  <c r="D10" i="44"/>
  <c r="D9" i="44"/>
  <c r="D7" i="44"/>
  <c r="D8" i="44"/>
  <c r="D6" i="44"/>
  <c r="D5" i="44"/>
  <c r="D4" i="44"/>
  <c r="N29" i="40" l="1"/>
  <c r="N30" i="40"/>
  <c r="N31" i="40"/>
  <c r="N32" i="40"/>
  <c r="N33" i="40"/>
  <c r="N34" i="40"/>
  <c r="N36" i="40"/>
  <c r="N38" i="40"/>
  <c r="N39" i="40"/>
  <c r="N40" i="40"/>
  <c r="N41" i="40"/>
  <c r="N42" i="40"/>
  <c r="N43" i="40"/>
  <c r="N44" i="40"/>
  <c r="N45" i="40"/>
  <c r="N46" i="40"/>
  <c r="N47" i="40"/>
  <c r="C5" i="42"/>
  <c r="D5" i="42"/>
  <c r="E5" i="42"/>
  <c r="F5" i="42"/>
  <c r="C6" i="42"/>
  <c r="D6" i="42"/>
  <c r="E6" i="42"/>
  <c r="F6" i="42"/>
  <c r="C7" i="42"/>
  <c r="D7" i="42"/>
  <c r="E7" i="42"/>
  <c r="F7" i="42"/>
  <c r="C8" i="42"/>
  <c r="D8" i="42"/>
  <c r="E8" i="42"/>
  <c r="F8" i="42"/>
  <c r="C9" i="42"/>
  <c r="D9" i="42"/>
  <c r="E9" i="42"/>
  <c r="F9" i="42"/>
  <c r="C10" i="42"/>
  <c r="D10" i="42"/>
  <c r="E10" i="42"/>
  <c r="F10" i="42"/>
  <c r="C11" i="42"/>
  <c r="D11" i="42"/>
  <c r="E11" i="42"/>
  <c r="F11" i="42"/>
  <c r="C12" i="42"/>
  <c r="D12" i="42"/>
  <c r="E12" i="42"/>
  <c r="F12" i="42"/>
  <c r="C13" i="42"/>
  <c r="D13" i="42"/>
  <c r="E13" i="42"/>
  <c r="F13" i="42"/>
  <c r="C14" i="42"/>
  <c r="D14" i="42"/>
  <c r="E14" i="42"/>
  <c r="F14" i="42"/>
  <c r="C15" i="42"/>
  <c r="D15" i="42"/>
  <c r="E15" i="42"/>
  <c r="F15" i="42"/>
  <c r="C16" i="42"/>
  <c r="D16" i="42"/>
  <c r="E16" i="42"/>
  <c r="F16" i="42"/>
  <c r="C17" i="42"/>
  <c r="D17" i="42"/>
  <c r="E17" i="42"/>
  <c r="F17" i="42"/>
  <c r="C18" i="42"/>
  <c r="D18" i="42"/>
  <c r="E18" i="42"/>
  <c r="F18" i="42"/>
  <c r="C19" i="42"/>
  <c r="D19" i="42"/>
  <c r="E19" i="42"/>
  <c r="F19" i="42"/>
  <c r="C20" i="42"/>
  <c r="D20" i="42"/>
  <c r="E20" i="42"/>
  <c r="F20" i="42"/>
  <c r="C21" i="42"/>
  <c r="D21" i="42"/>
  <c r="E21" i="42"/>
  <c r="F21" i="42"/>
  <c r="C22" i="42"/>
  <c r="D22" i="42"/>
  <c r="E22" i="42"/>
  <c r="F22" i="42"/>
  <c r="C23" i="42"/>
  <c r="D23" i="42"/>
  <c r="E23" i="42"/>
  <c r="F23" i="42"/>
  <c r="C24" i="42"/>
  <c r="D24" i="42"/>
  <c r="E24" i="42"/>
  <c r="F24" i="42"/>
  <c r="C25" i="42"/>
  <c r="D25" i="42"/>
  <c r="E25" i="42"/>
  <c r="F25" i="42"/>
  <c r="C26" i="42"/>
  <c r="D26" i="42"/>
  <c r="E26" i="42"/>
  <c r="F26" i="42"/>
  <c r="C27" i="42"/>
  <c r="D27" i="42"/>
  <c r="E27" i="42"/>
  <c r="F27" i="42"/>
  <c r="C28" i="42"/>
  <c r="D28" i="42"/>
  <c r="E28" i="42"/>
  <c r="F28" i="42"/>
  <c r="C29" i="42"/>
  <c r="D29" i="42"/>
  <c r="E29" i="42"/>
  <c r="F29" i="42"/>
  <c r="C30" i="42"/>
  <c r="D30" i="42"/>
  <c r="E30" i="42"/>
  <c r="F30" i="42"/>
  <c r="C31" i="42"/>
  <c r="D31" i="42"/>
  <c r="E31" i="42"/>
  <c r="F31" i="42"/>
  <c r="C32" i="42"/>
  <c r="D32" i="42"/>
  <c r="E32" i="42"/>
  <c r="F32" i="42"/>
  <c r="C33" i="42"/>
  <c r="D33" i="42"/>
  <c r="E33" i="42"/>
  <c r="F33" i="42"/>
  <c r="C34" i="42"/>
  <c r="D34" i="42"/>
  <c r="E34" i="42"/>
  <c r="F34" i="42"/>
  <c r="C35" i="42"/>
  <c r="D35" i="42"/>
  <c r="E35" i="42"/>
  <c r="F35" i="42"/>
  <c r="C36" i="42"/>
  <c r="D36" i="42"/>
  <c r="E36" i="42"/>
  <c r="F36" i="42"/>
  <c r="C37" i="42"/>
  <c r="D37" i="42"/>
  <c r="E37" i="42"/>
  <c r="F37" i="42"/>
  <c r="C38" i="42"/>
  <c r="D38" i="42"/>
  <c r="E38" i="42"/>
  <c r="F38" i="42"/>
  <c r="C39" i="42"/>
  <c r="D39" i="42"/>
  <c r="E39" i="42"/>
  <c r="F39" i="42"/>
  <c r="C40" i="42"/>
  <c r="D40" i="42"/>
  <c r="E40" i="42"/>
  <c r="F40" i="42"/>
  <c r="C41" i="42"/>
  <c r="D41" i="42"/>
  <c r="E41" i="42"/>
  <c r="F41" i="42"/>
  <c r="C42" i="42"/>
  <c r="D42" i="42"/>
  <c r="E42" i="42"/>
  <c r="F42" i="42"/>
  <c r="C43" i="42"/>
  <c r="D43" i="42"/>
  <c r="E43" i="42"/>
  <c r="F43" i="42"/>
  <c r="C44" i="42"/>
  <c r="D44" i="42"/>
  <c r="E44" i="42"/>
  <c r="F44" i="42"/>
  <c r="C45" i="42"/>
  <c r="D45" i="42"/>
  <c r="E45" i="42"/>
  <c r="F45" i="42"/>
  <c r="C46" i="42"/>
  <c r="D46" i="42"/>
  <c r="E46" i="42"/>
  <c r="F46" i="42"/>
  <c r="C47" i="42"/>
  <c r="D47" i="42"/>
  <c r="E47" i="42"/>
  <c r="F47" i="42"/>
  <c r="C48" i="42"/>
  <c r="D48" i="42"/>
  <c r="E48" i="42"/>
  <c r="F48" i="42"/>
  <c r="C49" i="42"/>
  <c r="D49" i="42"/>
  <c r="E49" i="42"/>
  <c r="F49" i="42"/>
  <c r="C50" i="42"/>
  <c r="D50" i="42"/>
  <c r="E50" i="42"/>
  <c r="F50" i="42"/>
  <c r="C51" i="42"/>
  <c r="D51" i="42"/>
  <c r="E51" i="42"/>
  <c r="F51" i="42"/>
  <c r="C52" i="42"/>
  <c r="D52" i="42"/>
  <c r="E52" i="42"/>
  <c r="F52" i="42"/>
  <c r="C53" i="42"/>
  <c r="D53" i="42"/>
  <c r="E53" i="42"/>
  <c r="F53" i="42"/>
  <c r="A13" i="44" l="1"/>
  <c r="A26" i="44"/>
  <c r="A22" i="44"/>
  <c r="A21" i="44"/>
  <c r="A20" i="44"/>
  <c r="A5" i="44" l="1"/>
  <c r="A6" i="44"/>
  <c r="A7" i="44"/>
  <c r="A8" i="44"/>
  <c r="A9" i="44"/>
  <c r="A10" i="44"/>
  <c r="A11" i="44"/>
  <c r="A12" i="44"/>
  <c r="A14" i="44"/>
  <c r="A15" i="44"/>
  <c r="A16" i="44"/>
  <c r="A17" i="44"/>
  <c r="A18" i="44"/>
  <c r="A19" i="44"/>
  <c r="A23" i="44"/>
  <c r="A24" i="44"/>
  <c r="A25" i="44"/>
  <c r="A27" i="44"/>
  <c r="A28" i="44"/>
  <c r="A29" i="44"/>
  <c r="A30" i="44"/>
  <c r="A31" i="44"/>
  <c r="A32" i="44"/>
  <c r="A33" i="44"/>
  <c r="P7" i="12" l="1" a="1"/>
  <c r="P7" i="12" s="1"/>
  <c r="P8" i="12" a="1"/>
  <c r="P8" i="12" s="1"/>
  <c r="P9" i="12" a="1"/>
  <c r="P9" i="12" s="1"/>
  <c r="P10" i="12" a="1"/>
  <c r="P10" i="12" s="1"/>
  <c r="P11" i="12" a="1"/>
  <c r="P11" i="12" s="1"/>
  <c r="P12" i="12" a="1"/>
  <c r="P12" i="12" s="1"/>
  <c r="P13" i="12" a="1"/>
  <c r="P13" i="12" s="1"/>
  <c r="P14" i="12" a="1"/>
  <c r="P14" i="12" s="1"/>
  <c r="P15" i="12" a="1"/>
  <c r="P15" i="12" s="1"/>
  <c r="P16" i="12" a="1"/>
  <c r="P16" i="12" s="1"/>
  <c r="P17" i="12" a="1"/>
  <c r="P17" i="12" s="1"/>
  <c r="P18" i="12" a="1"/>
  <c r="P18" i="12" s="1"/>
  <c r="P19" i="12" a="1"/>
  <c r="P19" i="12" s="1"/>
  <c r="P20" i="12" a="1"/>
  <c r="P20" i="12" s="1"/>
  <c r="P21" i="12" a="1"/>
  <c r="P21" i="12" s="1"/>
  <c r="P22" i="12" a="1"/>
  <c r="P22" i="12" s="1"/>
  <c r="P23" i="12" a="1"/>
  <c r="P23" i="12" s="1"/>
  <c r="P24" i="12" a="1"/>
  <c r="P24" i="12" s="1"/>
  <c r="P25" i="12" a="1"/>
  <c r="P25" i="12" s="1"/>
  <c r="P26" i="12" a="1"/>
  <c r="P26" i="12" s="1"/>
  <c r="P27" i="12" a="1"/>
  <c r="P27" i="12" s="1"/>
  <c r="P28" i="12" a="1"/>
  <c r="P28" i="12" s="1"/>
  <c r="P29" i="12" a="1"/>
  <c r="P29" i="12" s="1"/>
  <c r="P30" i="12" a="1"/>
  <c r="P30" i="12" s="1"/>
  <c r="P31" i="12" a="1"/>
  <c r="P31" i="12" s="1"/>
  <c r="P32" i="12" a="1"/>
  <c r="P32" i="12" s="1"/>
  <c r="P33" i="12" a="1"/>
  <c r="P33" i="12" s="1"/>
  <c r="P34" i="12" a="1"/>
  <c r="P34" i="12" s="1"/>
  <c r="P35" i="12" a="1"/>
  <c r="P35" i="12" s="1"/>
  <c r="P36" i="12" a="1"/>
  <c r="P36" i="12" s="1"/>
  <c r="P37" i="12" a="1"/>
  <c r="P37" i="12" s="1"/>
  <c r="P38" i="12" a="1"/>
  <c r="P38" i="12" s="1"/>
  <c r="P39" i="12" a="1"/>
  <c r="P39" i="12" s="1"/>
  <c r="P40" i="12" a="1"/>
  <c r="P40" i="12" s="1"/>
  <c r="P41" i="12" a="1"/>
  <c r="P41" i="12" s="1"/>
  <c r="P42" i="12" a="1"/>
  <c r="P42" i="12" s="1"/>
  <c r="P43" i="12" a="1"/>
  <c r="P43" i="12" s="1"/>
  <c r="P44" i="12" a="1"/>
  <c r="P44" i="12" s="1"/>
  <c r="P45" i="12" a="1"/>
  <c r="P45" i="12" s="1"/>
  <c r="P46" i="12" a="1"/>
  <c r="P46" i="12" s="1"/>
  <c r="P47" i="12" a="1"/>
  <c r="P47" i="12" s="1"/>
  <c r="P48" i="12" a="1"/>
  <c r="P48" i="12" s="1"/>
  <c r="P49" i="12" a="1"/>
  <c r="P49" i="12" s="1"/>
  <c r="P50" i="12" a="1"/>
  <c r="P50" i="12" s="1"/>
  <c r="P51" i="12" a="1"/>
  <c r="P51" i="12" s="1"/>
  <c r="P52" i="12" a="1"/>
  <c r="P52" i="12" s="1"/>
  <c r="P53" i="12" a="1"/>
  <c r="P53" i="12" s="1"/>
  <c r="P54" i="12" a="1"/>
  <c r="P54" i="12" s="1"/>
  <c r="P55" i="12" a="1"/>
  <c r="P55" i="12" s="1"/>
  <c r="N8" i="40"/>
  <c r="F4" i="42"/>
  <c r="E4" i="42"/>
  <c r="A4" i="42"/>
  <c r="I5" i="40" l="1"/>
  <c r="I6" i="40"/>
  <c r="I7" i="40"/>
  <c r="I8" i="40"/>
  <c r="I9" i="40"/>
  <c r="I10" i="40"/>
  <c r="I11" i="40"/>
  <c r="I12" i="40"/>
  <c r="I13" i="40"/>
  <c r="I14" i="40"/>
  <c r="I15" i="40"/>
  <c r="I16" i="40"/>
  <c r="I17" i="40"/>
  <c r="I18" i="40"/>
  <c r="I19" i="40"/>
  <c r="I20" i="40"/>
  <c r="I21" i="40"/>
  <c r="I22" i="40"/>
  <c r="I23" i="40"/>
  <c r="I24" i="40"/>
  <c r="I25" i="40"/>
  <c r="I26" i="40"/>
  <c r="I27" i="40"/>
  <c r="I28" i="40"/>
  <c r="I29" i="40"/>
  <c r="I30" i="40"/>
  <c r="I31" i="40"/>
  <c r="I32" i="40"/>
  <c r="I33" i="40"/>
  <c r="I34" i="40"/>
  <c r="I35" i="40"/>
  <c r="I36" i="40"/>
  <c r="I37" i="40"/>
  <c r="I38" i="40"/>
  <c r="I39" i="40"/>
  <c r="I40" i="40"/>
  <c r="I41" i="40"/>
  <c r="I42" i="40"/>
  <c r="I43" i="40"/>
  <c r="I44" i="40"/>
  <c r="I45" i="40"/>
  <c r="I46" i="40"/>
  <c r="I47" i="40"/>
  <c r="I48" i="40"/>
  <c r="I49" i="40"/>
  <c r="I50" i="40"/>
  <c r="I51" i="40"/>
  <c r="I52" i="40"/>
  <c r="I53" i="40"/>
  <c r="A6" i="12" l="1" a="1"/>
  <c r="A6" i="12" s="1"/>
  <c r="B6" i="12" a="1"/>
  <c r="B6" i="12" s="1"/>
  <c r="A53" i="40"/>
  <c r="A50" i="42"/>
  <c r="A51" i="42"/>
  <c r="A52" i="42"/>
  <c r="A53" i="42"/>
  <c r="A53" i="19"/>
  <c r="A50" i="19"/>
  <c r="A51" i="19"/>
  <c r="A52" i="19"/>
  <c r="K6" i="12" l="1"/>
  <c r="C6" i="12"/>
  <c r="N28" i="40"/>
  <c r="N16" i="40"/>
  <c r="N17" i="40"/>
  <c r="N18" i="40"/>
  <c r="N19" i="40"/>
  <c r="N20" i="40"/>
  <c r="N21" i="40"/>
  <c r="N22" i="40"/>
  <c r="N23" i="40"/>
  <c r="N24" i="40"/>
  <c r="N25" i="40"/>
  <c r="N5" i="40"/>
  <c r="N6" i="40"/>
  <c r="N7" i="40"/>
  <c r="N9" i="40"/>
  <c r="N10" i="40"/>
  <c r="N11" i="40"/>
  <c r="N12" i="40"/>
  <c r="N13" i="40"/>
  <c r="A4" i="40" l="1"/>
  <c r="A10" i="42" l="1"/>
  <c r="A6" i="42"/>
  <c r="B10" i="12" l="1" a="1"/>
  <c r="B10" i="12" s="1"/>
  <c r="B12" i="12" a="1"/>
  <c r="B12" i="12" s="1"/>
  <c r="B14" i="12" a="1"/>
  <c r="B14" i="12" s="1"/>
  <c r="B16" i="12" a="1"/>
  <c r="B16" i="12" s="1"/>
  <c r="B18" i="12" a="1"/>
  <c r="B18" i="12" s="1"/>
  <c r="B20" i="12" a="1"/>
  <c r="B20" i="12" s="1"/>
  <c r="B22" i="12" a="1"/>
  <c r="B22" i="12" s="1"/>
  <c r="B24" i="12" a="1"/>
  <c r="B24" i="12" s="1"/>
  <c r="B26" i="12" a="1"/>
  <c r="B26" i="12" s="1"/>
  <c r="B28" i="12" a="1"/>
  <c r="B28" i="12" s="1"/>
  <c r="B30" i="12" a="1"/>
  <c r="B30" i="12" s="1"/>
  <c r="B32" i="12" a="1"/>
  <c r="B32" i="12" s="1"/>
  <c r="B34" i="12" a="1"/>
  <c r="B34" i="12" s="1"/>
  <c r="B36" i="12" a="1"/>
  <c r="B36" i="12" s="1"/>
  <c r="B38" i="12" a="1"/>
  <c r="B38" i="12" s="1"/>
  <c r="B40" i="12" a="1"/>
  <c r="B40" i="12" s="1"/>
  <c r="B42" i="12" a="1"/>
  <c r="B42" i="12" s="1"/>
  <c r="B44" i="12" a="1"/>
  <c r="B44" i="12" s="1"/>
  <c r="B46" i="12" a="1"/>
  <c r="B46" i="12" s="1"/>
  <c r="B48" i="12" a="1"/>
  <c r="B48" i="12" s="1"/>
  <c r="B50" i="12" a="1"/>
  <c r="B50" i="12" s="1"/>
  <c r="B52" i="12" a="1"/>
  <c r="B52" i="12" s="1"/>
  <c r="B54" i="12" a="1"/>
  <c r="B54" i="12" s="1"/>
  <c r="A9" i="12" a="1"/>
  <c r="A9" i="12" s="1"/>
  <c r="A11" i="12" a="1"/>
  <c r="A11" i="12" s="1"/>
  <c r="A13" i="12" a="1"/>
  <c r="A13" i="12" s="1"/>
  <c r="A15" i="12" a="1"/>
  <c r="A15" i="12" s="1"/>
  <c r="A17" i="12" a="1"/>
  <c r="A17" i="12" s="1"/>
  <c r="A19" i="12" a="1"/>
  <c r="A19" i="12" s="1"/>
  <c r="A21" i="12" a="1"/>
  <c r="A21" i="12" s="1"/>
  <c r="A23" i="12" a="1"/>
  <c r="A23" i="12" s="1"/>
  <c r="A25" i="12" a="1"/>
  <c r="A25" i="12" s="1"/>
  <c r="A27" i="12" a="1"/>
  <c r="A27" i="12" s="1"/>
  <c r="A29" i="12" a="1"/>
  <c r="A29" i="12" s="1"/>
  <c r="A31" i="12" a="1"/>
  <c r="A31" i="12" s="1"/>
  <c r="A33" i="12" a="1"/>
  <c r="A33" i="12" s="1"/>
  <c r="A35" i="12" a="1"/>
  <c r="A35" i="12" s="1"/>
  <c r="A38" i="12" a="1"/>
  <c r="A38" i="12" s="1"/>
  <c r="A42" i="12" a="1"/>
  <c r="A42" i="12" s="1"/>
  <c r="A46" i="12" a="1"/>
  <c r="A46" i="12" s="1"/>
  <c r="A43" i="12" a="1"/>
  <c r="A43" i="12" s="1"/>
  <c r="A49" i="12" a="1"/>
  <c r="A49" i="12" s="1"/>
  <c r="A53" i="12" a="1"/>
  <c r="A53" i="12" s="1"/>
  <c r="A37" i="12" a="1"/>
  <c r="A37" i="12" s="1"/>
  <c r="A45" i="12" a="1"/>
  <c r="A45" i="12" s="1"/>
  <c r="A50" i="12" a="1"/>
  <c r="A50" i="12" s="1"/>
  <c r="A54" i="12" a="1"/>
  <c r="A54" i="12" s="1"/>
  <c r="B11" i="12" a="1"/>
  <c r="B11" i="12" s="1"/>
  <c r="B13" i="12" a="1"/>
  <c r="B13" i="12" s="1"/>
  <c r="B15" i="12" a="1"/>
  <c r="B15" i="12" s="1"/>
  <c r="B17" i="12" a="1"/>
  <c r="B17" i="12" s="1"/>
  <c r="B19" i="12" a="1"/>
  <c r="B19" i="12" s="1"/>
  <c r="B21" i="12" a="1"/>
  <c r="B21" i="12" s="1"/>
  <c r="B23" i="12" a="1"/>
  <c r="B23" i="12" s="1"/>
  <c r="B25" i="12" a="1"/>
  <c r="B25" i="12" s="1"/>
  <c r="B27" i="12" a="1"/>
  <c r="B27" i="12" s="1"/>
  <c r="B29" i="12" a="1"/>
  <c r="B29" i="12" s="1"/>
  <c r="B31" i="12" a="1"/>
  <c r="B31" i="12" s="1"/>
  <c r="B33" i="12" a="1"/>
  <c r="B33" i="12" s="1"/>
  <c r="B35" i="12" a="1"/>
  <c r="B35" i="12" s="1"/>
  <c r="B37" i="12" a="1"/>
  <c r="B37" i="12" s="1"/>
  <c r="B39" i="12" a="1"/>
  <c r="B39" i="12" s="1"/>
  <c r="B41" i="12" a="1"/>
  <c r="B41" i="12" s="1"/>
  <c r="B43" i="12" a="1"/>
  <c r="B43" i="12" s="1"/>
  <c r="B45" i="12" a="1"/>
  <c r="B45" i="12" s="1"/>
  <c r="B47" i="12" a="1"/>
  <c r="B47" i="12" s="1"/>
  <c r="B49" i="12" a="1"/>
  <c r="B49" i="12" s="1"/>
  <c r="B51" i="12" a="1"/>
  <c r="B51" i="12" s="1"/>
  <c r="B53" i="12" a="1"/>
  <c r="B53" i="12" s="1"/>
  <c r="B55" i="12" a="1"/>
  <c r="B55" i="12" s="1"/>
  <c r="A8" i="12" a="1"/>
  <c r="A8" i="12" s="1"/>
  <c r="A10" i="12" a="1"/>
  <c r="A10" i="12" s="1"/>
  <c r="A12" i="12" a="1"/>
  <c r="A12" i="12" s="1"/>
  <c r="A14" i="12" a="1"/>
  <c r="A14" i="12" s="1"/>
  <c r="A16" i="12" a="1"/>
  <c r="A16" i="12" s="1"/>
  <c r="A18" i="12" a="1"/>
  <c r="A18" i="12" s="1"/>
  <c r="A20" i="12" a="1"/>
  <c r="A20" i="12" s="1"/>
  <c r="A22" i="12" a="1"/>
  <c r="A22" i="12" s="1"/>
  <c r="A24" i="12" a="1"/>
  <c r="A24" i="12" s="1"/>
  <c r="A26" i="12" a="1"/>
  <c r="A26" i="12" s="1"/>
  <c r="A28" i="12" a="1"/>
  <c r="A28" i="12" s="1"/>
  <c r="A30" i="12" a="1"/>
  <c r="A30" i="12" s="1"/>
  <c r="A32" i="12" a="1"/>
  <c r="A32" i="12" s="1"/>
  <c r="A34" i="12" a="1"/>
  <c r="A34" i="12" s="1"/>
  <c r="A36" i="12" a="1"/>
  <c r="A36" i="12" s="1"/>
  <c r="A40" i="12" a="1"/>
  <c r="A40" i="12" s="1"/>
  <c r="A44" i="12" a="1"/>
  <c r="A44" i="12" s="1"/>
  <c r="A39" i="12" a="1"/>
  <c r="A39" i="12" s="1"/>
  <c r="A47" i="12" a="1"/>
  <c r="A47" i="12" s="1"/>
  <c r="A51" i="12" a="1"/>
  <c r="A51" i="12" s="1"/>
  <c r="A55" i="12" a="1"/>
  <c r="A55" i="12" s="1"/>
  <c r="A41" i="12" a="1"/>
  <c r="A41" i="12" s="1"/>
  <c r="A48" i="12" a="1"/>
  <c r="A48" i="12" s="1"/>
  <c r="A52" i="12" a="1"/>
  <c r="A52" i="12" s="1"/>
  <c r="A5" i="40" l="1"/>
  <c r="A7" i="12" s="1" a="1"/>
  <c r="A7" i="12" s="1"/>
  <c r="A6" i="40"/>
  <c r="A7" i="40"/>
  <c r="A8" i="40"/>
  <c r="A9" i="40"/>
  <c r="A10" i="40"/>
  <c r="A11" i="40"/>
  <c r="A12" i="40"/>
  <c r="A13" i="40"/>
  <c r="A14" i="40"/>
  <c r="A15" i="40"/>
  <c r="A16" i="40"/>
  <c r="A17" i="40"/>
  <c r="A18" i="40"/>
  <c r="A19" i="40"/>
  <c r="A20" i="40"/>
  <c r="A21" i="40"/>
  <c r="A22" i="40"/>
  <c r="A23" i="40"/>
  <c r="A24" i="40"/>
  <c r="A25" i="40"/>
  <c r="A26" i="40"/>
  <c r="A27" i="40"/>
  <c r="A28" i="40"/>
  <c r="A29" i="40"/>
  <c r="A30" i="40"/>
  <c r="A31" i="40"/>
  <c r="A32" i="40"/>
  <c r="A33" i="40"/>
  <c r="A34" i="40"/>
  <c r="A35" i="40"/>
  <c r="A36" i="40"/>
  <c r="A37" i="40"/>
  <c r="A38" i="40"/>
  <c r="A39" i="40"/>
  <c r="A40" i="40"/>
  <c r="A41" i="40"/>
  <c r="A42" i="40"/>
  <c r="A43" i="40"/>
  <c r="A44" i="40"/>
  <c r="A45" i="40"/>
  <c r="A46" i="40"/>
  <c r="A47" i="40"/>
  <c r="A48" i="40"/>
  <c r="A49" i="40"/>
  <c r="A50" i="40"/>
  <c r="A51" i="40"/>
  <c r="A52" i="40"/>
  <c r="A4" i="19"/>
  <c r="A5" i="19"/>
  <c r="A6" i="19"/>
  <c r="A7" i="19"/>
  <c r="A8" i="19"/>
  <c r="A9" i="19"/>
  <c r="A10" i="19"/>
  <c r="A11" i="19"/>
  <c r="A12" i="19"/>
  <c r="A13" i="19"/>
  <c r="A14" i="19"/>
  <c r="A15" i="19"/>
  <c r="A16" i="19"/>
  <c r="A17" i="19"/>
  <c r="A18" i="19"/>
  <c r="A19" i="19"/>
  <c r="A20" i="19"/>
  <c r="A21" i="19"/>
  <c r="A22" i="19"/>
  <c r="A23" i="19"/>
  <c r="A24" i="19"/>
  <c r="A25" i="19"/>
  <c r="A26" i="19"/>
  <c r="A27" i="19"/>
  <c r="A28" i="19"/>
  <c r="A29" i="19"/>
  <c r="A30" i="19"/>
  <c r="A31" i="19"/>
  <c r="A32" i="19"/>
  <c r="A33" i="19"/>
  <c r="A34" i="19"/>
  <c r="A35" i="19"/>
  <c r="A36" i="19"/>
  <c r="A37" i="19"/>
  <c r="A38" i="19"/>
  <c r="A39" i="19"/>
  <c r="A40" i="19"/>
  <c r="A41" i="19"/>
  <c r="A42" i="19"/>
  <c r="A43" i="19"/>
  <c r="A44" i="19"/>
  <c r="A45" i="19"/>
  <c r="A46" i="19"/>
  <c r="A47" i="19"/>
  <c r="A48" i="19"/>
  <c r="A49" i="19"/>
  <c r="A24" i="42"/>
  <c r="A5" i="42"/>
  <c r="A7" i="42"/>
  <c r="A8" i="42"/>
  <c r="A9" i="42"/>
  <c r="A14" i="42"/>
  <c r="A11" i="42"/>
  <c r="A13" i="42"/>
  <c r="A15" i="42"/>
  <c r="A16" i="42"/>
  <c r="A17" i="42"/>
  <c r="A18" i="42"/>
  <c r="A23" i="42"/>
  <c r="A26" i="42"/>
  <c r="A27" i="42"/>
  <c r="A29" i="42"/>
  <c r="A30" i="42"/>
  <c r="A31" i="42"/>
  <c r="A19" i="42"/>
  <c r="A20" i="42"/>
  <c r="A28" i="42"/>
  <c r="A12" i="42"/>
  <c r="A21" i="42"/>
  <c r="A22" i="42"/>
  <c r="A25" i="42"/>
  <c r="A32" i="42"/>
  <c r="A33" i="42"/>
  <c r="A34" i="42"/>
  <c r="A35" i="42"/>
  <c r="A36" i="42"/>
  <c r="A37" i="42"/>
  <c r="A38" i="42"/>
  <c r="A39" i="42"/>
  <c r="A40" i="42"/>
  <c r="A41" i="42"/>
  <c r="A42" i="42"/>
  <c r="A43" i="42"/>
  <c r="A44" i="42"/>
  <c r="A45" i="42"/>
  <c r="A46" i="42"/>
  <c r="A47" i="42"/>
  <c r="A48" i="42"/>
  <c r="A49" i="42"/>
  <c r="A4" i="44"/>
  <c r="B23" i="19" l="1"/>
  <c r="B28" i="19"/>
  <c r="B4" i="40"/>
  <c r="J4" i="40" s="1"/>
  <c r="B5" i="40"/>
  <c r="C5" i="40" s="1"/>
  <c r="B7" i="40"/>
  <c r="B9" i="40"/>
  <c r="C9" i="40" s="1"/>
  <c r="B11" i="40"/>
  <c r="C11" i="40" s="1"/>
  <c r="B13" i="40"/>
  <c r="C13" i="40" s="1"/>
  <c r="B15" i="40"/>
  <c r="C15" i="40" s="1"/>
  <c r="B17" i="40"/>
  <c r="C17" i="40" s="1"/>
  <c r="B19" i="40"/>
  <c r="C19" i="40" s="1"/>
  <c r="B21" i="40"/>
  <c r="C21" i="40" s="1"/>
  <c r="B23" i="40"/>
  <c r="C23" i="40" s="1"/>
  <c r="B25" i="40"/>
  <c r="C25" i="40" s="1"/>
  <c r="B27" i="40"/>
  <c r="C27" i="40" s="1"/>
  <c r="B29" i="40"/>
  <c r="C29" i="40" s="1"/>
  <c r="B31" i="40"/>
  <c r="C31" i="40" s="1"/>
  <c r="B33" i="40"/>
  <c r="C33" i="40" s="1"/>
  <c r="B35" i="40"/>
  <c r="C35" i="40" s="1"/>
  <c r="B37" i="40"/>
  <c r="C37" i="40" s="1"/>
  <c r="B39" i="40"/>
  <c r="C39" i="40" s="1"/>
  <c r="B41" i="40"/>
  <c r="C41" i="40" s="1"/>
  <c r="B43" i="40"/>
  <c r="C43" i="40" s="1"/>
  <c r="B45" i="40"/>
  <c r="C45" i="40" s="1"/>
  <c r="B47" i="40"/>
  <c r="C47" i="40" s="1"/>
  <c r="B49" i="40"/>
  <c r="C49" i="40" s="1"/>
  <c r="B51" i="40"/>
  <c r="C51" i="40" s="1"/>
  <c r="B53" i="40"/>
  <c r="C53" i="40" s="1"/>
  <c r="B6" i="40"/>
  <c r="C6" i="40" s="1"/>
  <c r="B8" i="40"/>
  <c r="C8" i="40" s="1"/>
  <c r="B10" i="40"/>
  <c r="C10" i="40" s="1"/>
  <c r="B12" i="40"/>
  <c r="C12" i="40" s="1"/>
  <c r="B14" i="40"/>
  <c r="C14" i="40" s="1"/>
  <c r="B16" i="40"/>
  <c r="C16" i="40" s="1"/>
  <c r="B18" i="40"/>
  <c r="C18" i="40" s="1"/>
  <c r="B20" i="40"/>
  <c r="C20" i="40" s="1"/>
  <c r="B22" i="40"/>
  <c r="C22" i="40" s="1"/>
  <c r="B24" i="40"/>
  <c r="C24" i="40" s="1"/>
  <c r="B26" i="40"/>
  <c r="C26" i="40" s="1"/>
  <c r="B28" i="40"/>
  <c r="B30" i="40"/>
  <c r="B32" i="40"/>
  <c r="B34" i="40"/>
  <c r="B36" i="40"/>
  <c r="B38" i="40"/>
  <c r="B40" i="40"/>
  <c r="B42" i="40"/>
  <c r="C42" i="40" s="1"/>
  <c r="B44" i="40"/>
  <c r="C44" i="40" s="1"/>
  <c r="B46" i="40"/>
  <c r="C46" i="40" s="1"/>
  <c r="B48" i="40"/>
  <c r="C48" i="40" s="1"/>
  <c r="B50" i="40"/>
  <c r="C50" i="40" s="1"/>
  <c r="B52" i="40"/>
  <c r="C52" i="40" s="1"/>
  <c r="B19" i="19"/>
  <c r="C28" i="40"/>
  <c r="C30" i="40"/>
  <c r="C32" i="40"/>
  <c r="C34" i="40"/>
  <c r="C36" i="40"/>
  <c r="C38" i="40"/>
  <c r="C40" i="40"/>
  <c r="C7" i="40"/>
  <c r="B18" i="19"/>
  <c r="E18" i="19" s="1"/>
  <c r="B51" i="19"/>
  <c r="B53" i="19"/>
  <c r="B52" i="19"/>
  <c r="B50" i="19"/>
  <c r="B48" i="19"/>
  <c r="B46" i="19"/>
  <c r="B44" i="19"/>
  <c r="B42" i="19"/>
  <c r="B40" i="19"/>
  <c r="B38" i="19"/>
  <c r="B36" i="19"/>
  <c r="B34" i="19"/>
  <c r="B32" i="19"/>
  <c r="B30" i="19"/>
  <c r="B26" i="19"/>
  <c r="B49" i="19"/>
  <c r="B47" i="19"/>
  <c r="B45" i="19"/>
  <c r="B43" i="19"/>
  <c r="B41" i="19"/>
  <c r="B39" i="19"/>
  <c r="B37" i="19"/>
  <c r="B35" i="19"/>
  <c r="B33" i="19"/>
  <c r="B31" i="19"/>
  <c r="B29" i="19"/>
  <c r="B27" i="19"/>
  <c r="B25" i="19"/>
  <c r="E25" i="19" s="1"/>
  <c r="B24" i="19"/>
  <c r="B5" i="19"/>
  <c r="B7" i="19"/>
  <c r="E7" i="19" s="1"/>
  <c r="B9" i="19"/>
  <c r="E9" i="19" s="1"/>
  <c r="B11" i="19"/>
  <c r="E11" i="19" s="1"/>
  <c r="B13" i="19"/>
  <c r="E13" i="19" s="1"/>
  <c r="B15" i="19"/>
  <c r="E15" i="19" s="1"/>
  <c r="B17" i="19"/>
  <c r="E17" i="19" s="1"/>
  <c r="B21" i="19"/>
  <c r="E21" i="19" s="1"/>
  <c r="B6" i="19"/>
  <c r="E6" i="19" s="1"/>
  <c r="B8" i="19"/>
  <c r="E8" i="19" s="1"/>
  <c r="B10" i="19"/>
  <c r="B12" i="19"/>
  <c r="B14" i="19"/>
  <c r="E14" i="19" s="1"/>
  <c r="B16" i="19"/>
  <c r="E16" i="19" s="1"/>
  <c r="B20" i="19"/>
  <c r="E20" i="19" s="1"/>
  <c r="B22" i="19"/>
  <c r="E22" i="19" s="1"/>
  <c r="C18" i="19" l="1"/>
  <c r="C19" i="19"/>
  <c r="E19" i="19"/>
  <c r="C23" i="19"/>
  <c r="E23" i="19"/>
  <c r="C12" i="19"/>
  <c r="E12" i="19"/>
  <c r="C10" i="19"/>
  <c r="E10" i="19"/>
  <c r="K12" i="12"/>
  <c r="N53" i="12"/>
  <c r="L53" i="12"/>
  <c r="N49" i="12"/>
  <c r="L49" i="12"/>
  <c r="N45" i="12"/>
  <c r="L45" i="12"/>
  <c r="N41" i="12"/>
  <c r="M41" i="12"/>
  <c r="N37" i="12"/>
  <c r="L37" i="12"/>
  <c r="N33" i="12"/>
  <c r="M33" i="12"/>
  <c r="N29" i="12"/>
  <c r="L29" i="12"/>
  <c r="N25" i="12"/>
  <c r="L25" i="12"/>
  <c r="N21" i="12"/>
  <c r="M21" i="12"/>
  <c r="N17" i="12"/>
  <c r="M17" i="12"/>
  <c r="N13" i="12"/>
  <c r="M13" i="12"/>
  <c r="M52" i="12"/>
  <c r="L52" i="12"/>
  <c r="M48" i="12"/>
  <c r="L48" i="12"/>
  <c r="M44" i="12"/>
  <c r="L44" i="12"/>
  <c r="M40" i="12"/>
  <c r="L40" i="12"/>
  <c r="M36" i="12"/>
  <c r="L36" i="12"/>
  <c r="M32" i="12"/>
  <c r="L32" i="12"/>
  <c r="M28" i="12"/>
  <c r="L28" i="12"/>
  <c r="M24" i="12"/>
  <c r="O24" i="12"/>
  <c r="M20" i="12"/>
  <c r="O20" i="12"/>
  <c r="M16" i="12"/>
  <c r="O16" i="12"/>
  <c r="M12" i="12"/>
  <c r="O12" i="12"/>
  <c r="M55" i="12"/>
  <c r="L55" i="12"/>
  <c r="M51" i="12"/>
  <c r="L51" i="12"/>
  <c r="M47" i="12"/>
  <c r="N47" i="12"/>
  <c r="M43" i="12"/>
  <c r="L43" i="12"/>
  <c r="M39" i="12"/>
  <c r="L39" i="12"/>
  <c r="M35" i="12"/>
  <c r="L35" i="12"/>
  <c r="M31" i="12"/>
  <c r="L31" i="12"/>
  <c r="M27" i="12"/>
  <c r="N27" i="12"/>
  <c r="M23" i="12"/>
  <c r="L23" i="12"/>
  <c r="M19" i="12"/>
  <c r="L19" i="12"/>
  <c r="M15" i="12"/>
  <c r="L15" i="12"/>
  <c r="M11" i="12"/>
  <c r="L11" i="12"/>
  <c r="M54" i="12"/>
  <c r="L54" i="12"/>
  <c r="M50" i="12"/>
  <c r="L50" i="12"/>
  <c r="M46" i="12"/>
  <c r="L46" i="12"/>
  <c r="M42" i="12"/>
  <c r="L42" i="12"/>
  <c r="M38" i="12"/>
  <c r="L38" i="12"/>
  <c r="M34" i="12"/>
  <c r="L34" i="12"/>
  <c r="M30" i="12"/>
  <c r="L30" i="12"/>
  <c r="M26" i="12"/>
  <c r="L26" i="12"/>
  <c r="O53" i="12"/>
  <c r="M53" i="12"/>
  <c r="O49" i="12"/>
  <c r="M49" i="12"/>
  <c r="O45" i="12"/>
  <c r="M45" i="12"/>
  <c r="O41" i="12"/>
  <c r="L41" i="12"/>
  <c r="O37" i="12"/>
  <c r="M37" i="12"/>
  <c r="O33" i="12"/>
  <c r="L33" i="12"/>
  <c r="O29" i="12"/>
  <c r="M29" i="12"/>
  <c r="O25" i="12"/>
  <c r="M25" i="12"/>
  <c r="O21" i="12"/>
  <c r="L21" i="12"/>
  <c r="O17" i="12"/>
  <c r="L17" i="12"/>
  <c r="O13" i="12"/>
  <c r="L13" i="12"/>
  <c r="N52" i="12"/>
  <c r="O52" i="12"/>
  <c r="N48" i="12"/>
  <c r="O48" i="12"/>
  <c r="N44" i="12"/>
  <c r="O44" i="12"/>
  <c r="N40" i="12"/>
  <c r="O40" i="12"/>
  <c r="N36" i="12"/>
  <c r="O36" i="12"/>
  <c r="N32" i="12"/>
  <c r="O32" i="12"/>
  <c r="N28" i="12"/>
  <c r="O28" i="12"/>
  <c r="N24" i="12"/>
  <c r="L24" i="12"/>
  <c r="N20" i="12"/>
  <c r="L20" i="12"/>
  <c r="N16" i="12"/>
  <c r="L16" i="12"/>
  <c r="N12" i="12"/>
  <c r="L12" i="12"/>
  <c r="O55" i="12"/>
  <c r="N55" i="12"/>
  <c r="O51" i="12"/>
  <c r="N51" i="12"/>
  <c r="O47" i="12"/>
  <c r="L47" i="12"/>
  <c r="O43" i="12"/>
  <c r="N43" i="12"/>
  <c r="O39" i="12"/>
  <c r="N39" i="12"/>
  <c r="O35" i="12"/>
  <c r="N35" i="12"/>
  <c r="O31" i="12"/>
  <c r="N31" i="12"/>
  <c r="O27" i="12"/>
  <c r="L27" i="12"/>
  <c r="O23" i="12"/>
  <c r="N23" i="12"/>
  <c r="O19" i="12"/>
  <c r="O15" i="12"/>
  <c r="O11" i="12"/>
  <c r="N54" i="12"/>
  <c r="N50" i="12"/>
  <c r="N46" i="12"/>
  <c r="N42" i="12"/>
  <c r="N38" i="12"/>
  <c r="N34" i="12"/>
  <c r="N30" i="12"/>
  <c r="N26" i="12"/>
  <c r="N22" i="12"/>
  <c r="L22" i="12"/>
  <c r="N18" i="12"/>
  <c r="L18" i="12"/>
  <c r="N14" i="12"/>
  <c r="L14" i="12"/>
  <c r="N10" i="12"/>
  <c r="L10" i="12"/>
  <c r="K55" i="12"/>
  <c r="K51" i="12"/>
  <c r="K47" i="12"/>
  <c r="K43" i="12"/>
  <c r="K39" i="12"/>
  <c r="K35" i="12"/>
  <c r="K31" i="12"/>
  <c r="K27" i="12"/>
  <c r="K23" i="12"/>
  <c r="K19" i="12"/>
  <c r="K15" i="12"/>
  <c r="K11" i="12"/>
  <c r="K54" i="12"/>
  <c r="K50" i="12"/>
  <c r="K46" i="12"/>
  <c r="K42" i="12"/>
  <c r="K38" i="12"/>
  <c r="K34" i="12"/>
  <c r="K30" i="12"/>
  <c r="K26" i="12"/>
  <c r="K22" i="12"/>
  <c r="K18" i="12"/>
  <c r="K14" i="12"/>
  <c r="K10" i="12"/>
  <c r="N19" i="12"/>
  <c r="N15" i="12"/>
  <c r="N11" i="12"/>
  <c r="O54" i="12"/>
  <c r="O50" i="12"/>
  <c r="O46" i="12"/>
  <c r="O42" i="12"/>
  <c r="O38" i="12"/>
  <c r="O34" i="12"/>
  <c r="O30" i="12"/>
  <c r="O26" i="12"/>
  <c r="M22" i="12"/>
  <c r="O22" i="12"/>
  <c r="M18" i="12"/>
  <c r="O18" i="12"/>
  <c r="M14" i="12"/>
  <c r="O14" i="12"/>
  <c r="M10" i="12"/>
  <c r="O10" i="12"/>
  <c r="K53" i="12"/>
  <c r="K49" i="12"/>
  <c r="K37" i="12"/>
  <c r="K41" i="12"/>
  <c r="K33" i="12"/>
  <c r="K25" i="12"/>
  <c r="K17" i="12"/>
  <c r="K52" i="12"/>
  <c r="K44" i="12"/>
  <c r="K36" i="12"/>
  <c r="K28" i="12"/>
  <c r="K20" i="12"/>
  <c r="K45" i="12"/>
  <c r="K29" i="12"/>
  <c r="K21" i="12"/>
  <c r="K13" i="12"/>
  <c r="K48" i="12"/>
  <c r="K40" i="12"/>
  <c r="K32" i="12"/>
  <c r="K24" i="12"/>
  <c r="K16" i="12"/>
  <c r="C11" i="19"/>
  <c r="C25" i="19"/>
  <c r="C29" i="19"/>
  <c r="E29" i="19"/>
  <c r="C33" i="19"/>
  <c r="E33" i="19"/>
  <c r="C37" i="19"/>
  <c r="E37" i="19"/>
  <c r="C41" i="19"/>
  <c r="E41" i="19"/>
  <c r="C45" i="19"/>
  <c r="E45" i="19"/>
  <c r="C49" i="19"/>
  <c r="E49" i="19"/>
  <c r="C28" i="19"/>
  <c r="E28" i="19"/>
  <c r="C32" i="19"/>
  <c r="E32" i="19"/>
  <c r="C36" i="19"/>
  <c r="E36" i="19"/>
  <c r="C40" i="19"/>
  <c r="E40" i="19"/>
  <c r="C44" i="19"/>
  <c r="E44" i="19"/>
  <c r="C48" i="19"/>
  <c r="E48" i="19"/>
  <c r="C53" i="19"/>
  <c r="E53" i="19"/>
  <c r="B8" i="12" a="1"/>
  <c r="B8" i="12" s="1"/>
  <c r="N8" i="12" s="1"/>
  <c r="E5" i="19"/>
  <c r="C53" i="12"/>
  <c r="C49" i="12"/>
  <c r="C45" i="12"/>
  <c r="C41" i="12"/>
  <c r="C37" i="12"/>
  <c r="C33" i="12"/>
  <c r="C29" i="12"/>
  <c r="C25" i="12"/>
  <c r="C21" i="12"/>
  <c r="C17" i="12"/>
  <c r="C13" i="12"/>
  <c r="C52" i="12"/>
  <c r="C48" i="12"/>
  <c r="C44" i="12"/>
  <c r="C40" i="12"/>
  <c r="C36" i="12"/>
  <c r="C32" i="12"/>
  <c r="C28" i="12"/>
  <c r="C24" i="12"/>
  <c r="C20" i="12"/>
  <c r="C16" i="12"/>
  <c r="C12" i="12"/>
  <c r="C27" i="12"/>
  <c r="C55" i="12"/>
  <c r="C47" i="12"/>
  <c r="C39" i="12"/>
  <c r="C31" i="12"/>
  <c r="C23" i="12"/>
  <c r="C15" i="12"/>
  <c r="C54" i="12"/>
  <c r="C46" i="12"/>
  <c r="C38" i="12"/>
  <c r="C30" i="12"/>
  <c r="C22" i="12"/>
  <c r="C14" i="12"/>
  <c r="C51" i="12"/>
  <c r="C43" i="12"/>
  <c r="C35" i="12"/>
  <c r="C19" i="12"/>
  <c r="C11" i="12"/>
  <c r="C50" i="12"/>
  <c r="C42" i="12"/>
  <c r="C34" i="12"/>
  <c r="C26" i="12"/>
  <c r="C18" i="12"/>
  <c r="C10" i="12"/>
  <c r="C24" i="19"/>
  <c r="E24" i="19"/>
  <c r="C27" i="19"/>
  <c r="E27" i="19"/>
  <c r="C31" i="19"/>
  <c r="E31" i="19"/>
  <c r="C35" i="19"/>
  <c r="E35" i="19"/>
  <c r="C39" i="19"/>
  <c r="E39" i="19"/>
  <c r="C43" i="19"/>
  <c r="E43" i="19"/>
  <c r="C47" i="19"/>
  <c r="E47" i="19"/>
  <c r="C26" i="19"/>
  <c r="E26" i="19"/>
  <c r="C30" i="19"/>
  <c r="E30" i="19"/>
  <c r="C34" i="19"/>
  <c r="E34" i="19"/>
  <c r="C38" i="19"/>
  <c r="E38" i="19"/>
  <c r="C42" i="19"/>
  <c r="E42" i="19"/>
  <c r="C46" i="19"/>
  <c r="E46" i="19"/>
  <c r="C50" i="19"/>
  <c r="E50" i="19"/>
  <c r="C52" i="19"/>
  <c r="E52" i="19"/>
  <c r="C51" i="19"/>
  <c r="E51" i="19"/>
  <c r="C20" i="19"/>
  <c r="C6" i="19"/>
  <c r="C22" i="19"/>
  <c r="C16" i="19"/>
  <c r="C8" i="19"/>
  <c r="C21" i="19"/>
  <c r="C17" i="19"/>
  <c r="C13" i="19"/>
  <c r="C9" i="19"/>
  <c r="C5" i="19"/>
  <c r="C14" i="19"/>
  <c r="C15" i="19"/>
  <c r="C7" i="19"/>
  <c r="B7" i="12" a="1"/>
  <c r="B7" i="12" s="1"/>
  <c r="B9" i="12" a="1"/>
  <c r="B9" i="12" s="1"/>
  <c r="J5" i="40" l="1"/>
  <c r="J7" i="40"/>
  <c r="O8" i="12"/>
  <c r="K8" i="12"/>
  <c r="M8" i="12"/>
  <c r="C8" i="12"/>
  <c r="L8" i="12"/>
  <c r="O6" i="12"/>
  <c r="N6" i="12"/>
  <c r="L6" i="12"/>
  <c r="M6" i="12"/>
  <c r="O9" i="12"/>
  <c r="N9" i="12"/>
  <c r="L9" i="12"/>
  <c r="M9" i="12"/>
  <c r="O7" i="12"/>
  <c r="M7" i="12"/>
  <c r="N7" i="12"/>
  <c r="L7" i="12"/>
  <c r="C9" i="12"/>
  <c r="K9" i="12"/>
  <c r="C7" i="12"/>
  <c r="K7" i="12"/>
  <c r="J53" i="40"/>
  <c r="J8" i="40"/>
  <c r="J12" i="40"/>
  <c r="J16" i="40"/>
  <c r="J20" i="40"/>
  <c r="J24" i="40"/>
  <c r="J28" i="40"/>
  <c r="J32" i="40"/>
  <c r="J36" i="40"/>
  <c r="J40" i="40"/>
  <c r="J44" i="40"/>
  <c r="J48" i="40"/>
  <c r="J52" i="40"/>
  <c r="J11" i="40"/>
  <c r="J15" i="40"/>
  <c r="J23" i="40"/>
  <c r="J31" i="40"/>
  <c r="J43" i="40"/>
  <c r="J51" i="40"/>
  <c r="J6" i="40"/>
  <c r="J10" i="40"/>
  <c r="J14" i="40"/>
  <c r="J18" i="40"/>
  <c r="J22" i="40"/>
  <c r="J26" i="40"/>
  <c r="J30" i="40"/>
  <c r="J34" i="40"/>
  <c r="J38" i="40"/>
  <c r="J42" i="40"/>
  <c r="J46" i="40"/>
  <c r="J50" i="40"/>
  <c r="J9" i="40"/>
  <c r="J13" i="40"/>
  <c r="J17" i="40"/>
  <c r="J21" i="40"/>
  <c r="J25" i="40"/>
  <c r="J29" i="40"/>
  <c r="J33" i="40"/>
  <c r="J37" i="40"/>
  <c r="J41" i="40"/>
  <c r="J45" i="40"/>
  <c r="J49" i="40"/>
  <c r="J19" i="40"/>
  <c r="J27" i="40"/>
  <c r="J35" i="40"/>
  <c r="J39" i="40"/>
  <c r="J47" i="40"/>
  <c r="A4" i="26" l="1" a="1"/>
  <c r="A4" i="26" s="1"/>
  <c r="B6" i="26" a="1"/>
  <c r="B6" i="26" s="1"/>
  <c r="B8" i="26" a="1"/>
  <c r="B8" i="26" s="1"/>
  <c r="B10" i="26" a="1"/>
  <c r="B10" i="26" s="1"/>
  <c r="B12" i="26" a="1"/>
  <c r="B12" i="26" s="1"/>
  <c r="B14" i="26" a="1"/>
  <c r="B14" i="26" s="1"/>
  <c r="B16" i="26" a="1"/>
  <c r="B16" i="26" s="1"/>
  <c r="B18" i="26" a="1"/>
  <c r="B18" i="26" s="1"/>
  <c r="B20" i="26" a="1"/>
  <c r="B20" i="26" s="1"/>
  <c r="B22" i="26" a="1"/>
  <c r="B22" i="26" s="1"/>
  <c r="B24" i="26" a="1"/>
  <c r="B24" i="26" s="1"/>
  <c r="B26" i="26" a="1"/>
  <c r="B26" i="26" s="1"/>
  <c r="B28" i="26" a="1"/>
  <c r="B28" i="26" s="1"/>
  <c r="B30" i="26" a="1"/>
  <c r="B30" i="26" s="1"/>
  <c r="B32" i="26" a="1"/>
  <c r="B32" i="26" s="1"/>
  <c r="B34" i="26" a="1"/>
  <c r="B34" i="26" s="1"/>
  <c r="B36" i="26" a="1"/>
  <c r="B36" i="26" s="1"/>
  <c r="B38" i="26" a="1"/>
  <c r="B38" i="26" s="1"/>
  <c r="B40" i="26" a="1"/>
  <c r="B40" i="26" s="1"/>
  <c r="B42" i="26" a="1"/>
  <c r="B42" i="26" s="1"/>
  <c r="B44" i="26" a="1"/>
  <c r="B44" i="26" s="1"/>
  <c r="B46" i="26" a="1"/>
  <c r="B46" i="26" s="1"/>
  <c r="B48" i="26" a="1"/>
  <c r="B48" i="26" s="1"/>
  <c r="B50" i="26" a="1"/>
  <c r="B50" i="26" s="1"/>
  <c r="B5" i="26" a="1"/>
  <c r="B5" i="26" s="1"/>
  <c r="B7" i="26" a="1"/>
  <c r="B7" i="26" s="1"/>
  <c r="B9" i="26" a="1"/>
  <c r="B9" i="26" s="1"/>
  <c r="B11" i="26" a="1"/>
  <c r="B11" i="26" s="1"/>
  <c r="B13" i="26" a="1"/>
  <c r="B13" i="26" s="1"/>
  <c r="B15" i="26" a="1"/>
  <c r="B15" i="26" s="1"/>
  <c r="B17" i="26" a="1"/>
  <c r="B17" i="26" s="1"/>
  <c r="B19" i="26" a="1"/>
  <c r="B19" i="26" s="1"/>
  <c r="B21" i="26" a="1"/>
  <c r="B21" i="26" s="1"/>
  <c r="B23" i="26" a="1"/>
  <c r="B23" i="26" s="1"/>
  <c r="B25" i="26" a="1"/>
  <c r="B25" i="26" s="1"/>
  <c r="B27" i="26" a="1"/>
  <c r="B27" i="26" s="1"/>
  <c r="B29" i="26" a="1"/>
  <c r="B29" i="26" s="1"/>
  <c r="B31" i="26" a="1"/>
  <c r="B31" i="26" s="1"/>
  <c r="B33" i="26" a="1"/>
  <c r="B33" i="26" s="1"/>
  <c r="B35" i="26" a="1"/>
  <c r="B35" i="26" s="1"/>
  <c r="B37" i="26" a="1"/>
  <c r="B37" i="26" s="1"/>
  <c r="B39" i="26" a="1"/>
  <c r="B39" i="26" s="1"/>
  <c r="B41" i="26" a="1"/>
  <c r="B41" i="26" s="1"/>
  <c r="B43" i="26" a="1"/>
  <c r="B43" i="26" s="1"/>
  <c r="B45" i="26" a="1"/>
  <c r="B45" i="26" s="1"/>
  <c r="B47" i="26" a="1"/>
  <c r="B47" i="26" s="1"/>
  <c r="B49" i="26" a="1"/>
  <c r="B49" i="26" s="1"/>
  <c r="B51" i="26" a="1"/>
  <c r="B51" i="26" s="1"/>
  <c r="B53" i="26" a="1"/>
  <c r="B53" i="26" s="1"/>
  <c r="B52" i="26" a="1"/>
  <c r="B52" i="26" s="1"/>
  <c r="A5" i="26" a="1"/>
  <c r="A5" i="26" s="1"/>
  <c r="A6" i="26" a="1"/>
  <c r="A6" i="26" s="1"/>
  <c r="A7" i="26" a="1"/>
  <c r="A7" i="26" s="1"/>
  <c r="A8" i="26" a="1"/>
  <c r="A8" i="26" s="1"/>
  <c r="A9" i="26" a="1"/>
  <c r="A9" i="26" s="1"/>
  <c r="A10" i="26" a="1"/>
  <c r="A10" i="26" s="1"/>
  <c r="A11" i="26" a="1"/>
  <c r="A11" i="26" s="1"/>
  <c r="A12" i="26" a="1"/>
  <c r="A12" i="26" s="1"/>
  <c r="A13" i="26" a="1"/>
  <c r="A13" i="26" s="1"/>
  <c r="A14" i="26" a="1"/>
  <c r="A14" i="26" s="1"/>
  <c r="A15" i="26" a="1"/>
  <c r="A15" i="26" s="1"/>
  <c r="A16" i="26" a="1"/>
  <c r="A16" i="26" s="1"/>
  <c r="A17" i="26" a="1"/>
  <c r="A17" i="26" s="1"/>
  <c r="A18" i="26" a="1"/>
  <c r="A18" i="26" s="1"/>
  <c r="A19" i="26" a="1"/>
  <c r="A19" i="26" s="1"/>
  <c r="A20" i="26" a="1"/>
  <c r="A20" i="26" s="1"/>
  <c r="A22" i="26" a="1"/>
  <c r="A22" i="26" s="1"/>
  <c r="A24" i="26" a="1"/>
  <c r="A24" i="26" s="1"/>
  <c r="A26" i="26" a="1"/>
  <c r="A26" i="26" s="1"/>
  <c r="A28" i="26" a="1"/>
  <c r="A28" i="26" s="1"/>
  <c r="A30" i="26" a="1"/>
  <c r="A30" i="26" s="1"/>
  <c r="A32" i="26" a="1"/>
  <c r="A32" i="26" s="1"/>
  <c r="A34" i="26" a="1"/>
  <c r="A34" i="26" s="1"/>
  <c r="A36" i="26" a="1"/>
  <c r="A36" i="26" s="1"/>
  <c r="A38" i="26" a="1"/>
  <c r="A38" i="26" s="1"/>
  <c r="A40" i="26" a="1"/>
  <c r="A40" i="26" s="1"/>
  <c r="A42" i="26" a="1"/>
  <c r="A42" i="26" s="1"/>
  <c r="A44" i="26" a="1"/>
  <c r="A44" i="26" s="1"/>
  <c r="A46" i="26" a="1"/>
  <c r="A46" i="26" s="1"/>
  <c r="A48" i="26" a="1"/>
  <c r="A48" i="26" s="1"/>
  <c r="A50" i="26" a="1"/>
  <c r="A50" i="26" s="1"/>
  <c r="A52" i="26" a="1"/>
  <c r="A52" i="26" s="1"/>
  <c r="A21" i="26" a="1"/>
  <c r="A21" i="26" s="1"/>
  <c r="A23" i="26" a="1"/>
  <c r="A23" i="26" s="1"/>
  <c r="A25" i="26" a="1"/>
  <c r="A25" i="26" s="1"/>
  <c r="A27" i="26" a="1"/>
  <c r="A27" i="26" s="1"/>
  <c r="A29" i="26" a="1"/>
  <c r="A29" i="26" s="1"/>
  <c r="A31" i="26" a="1"/>
  <c r="A31" i="26" s="1"/>
  <c r="A33" i="26" a="1"/>
  <c r="A33" i="26" s="1"/>
  <c r="A35" i="26" a="1"/>
  <c r="A35" i="26" s="1"/>
  <c r="A37" i="26" a="1"/>
  <c r="A37" i="26" s="1"/>
  <c r="A39" i="26" a="1"/>
  <c r="A39" i="26" s="1"/>
  <c r="A41" i="26" a="1"/>
  <c r="A41" i="26" s="1"/>
  <c r="A43" i="26" a="1"/>
  <c r="A43" i="26" s="1"/>
  <c r="A45" i="26" a="1"/>
  <c r="A45" i="26" s="1"/>
  <c r="A47" i="26" a="1"/>
  <c r="A47" i="26" s="1"/>
  <c r="A49" i="26" a="1"/>
  <c r="A49" i="26" s="1"/>
  <c r="A51" i="26" a="1"/>
  <c r="A51" i="26" s="1"/>
  <c r="A53" i="26" a="1"/>
  <c r="A53" i="26" s="1"/>
  <c r="C53" i="26" l="1"/>
  <c r="D53" i="26"/>
  <c r="C49" i="26"/>
  <c r="D49" i="26"/>
  <c r="C45" i="26"/>
  <c r="D45" i="26"/>
  <c r="E45" i="26" s="1"/>
  <c r="F45" i="26" s="1" a="1"/>
  <c r="F45" i="26" s="1"/>
  <c r="C41" i="26"/>
  <c r="D41" i="26"/>
  <c r="C37" i="26"/>
  <c r="D37" i="26"/>
  <c r="E37" i="26" s="1"/>
  <c r="F37" i="26" s="1" a="1"/>
  <c r="F37" i="26" s="1"/>
  <c r="C33" i="26"/>
  <c r="D33" i="26"/>
  <c r="C29" i="26"/>
  <c r="D29" i="26"/>
  <c r="E29" i="26" s="1"/>
  <c r="F29" i="26" s="1" a="1"/>
  <c r="F29" i="26" s="1"/>
  <c r="C25" i="26"/>
  <c r="D25" i="26"/>
  <c r="C21" i="26"/>
  <c r="D21" i="26"/>
  <c r="E21" i="26" s="1"/>
  <c r="F21" i="26" s="1" a="1"/>
  <c r="F21" i="26" s="1"/>
  <c r="C17" i="26"/>
  <c r="D17" i="26"/>
  <c r="C13" i="26"/>
  <c r="D13" i="26"/>
  <c r="E13" i="26" s="1"/>
  <c r="F13" i="26" s="1" a="1"/>
  <c r="F13" i="26" s="1"/>
  <c r="C9" i="26"/>
  <c r="D9" i="26"/>
  <c r="E9" i="26" s="1"/>
  <c r="F9" i="26" s="1" a="1"/>
  <c r="F9" i="26" s="1"/>
  <c r="C5" i="26"/>
  <c r="D5" i="26"/>
  <c r="C48" i="26"/>
  <c r="D48" i="26"/>
  <c r="C44" i="26"/>
  <c r="D44" i="26"/>
  <c r="E44" i="26" s="1"/>
  <c r="F44" i="26" s="1" a="1"/>
  <c r="F44" i="26" s="1"/>
  <c r="C40" i="26"/>
  <c r="D40" i="26"/>
  <c r="C36" i="26"/>
  <c r="D36" i="26"/>
  <c r="E36" i="26" s="1"/>
  <c r="F36" i="26" s="1" a="1"/>
  <c r="F36" i="26" s="1"/>
  <c r="C32" i="26"/>
  <c r="D32" i="26"/>
  <c r="C28" i="26"/>
  <c r="D28" i="26"/>
  <c r="E28" i="26" s="1"/>
  <c r="F28" i="26" s="1" a="1"/>
  <c r="F28" i="26" s="1"/>
  <c r="C24" i="26"/>
  <c r="D24" i="26"/>
  <c r="C20" i="26"/>
  <c r="D20" i="26"/>
  <c r="E20" i="26" s="1"/>
  <c r="F20" i="26" s="1" a="1"/>
  <c r="F20" i="26" s="1"/>
  <c r="C16" i="26"/>
  <c r="D16" i="26"/>
  <c r="C12" i="26"/>
  <c r="D12" i="26"/>
  <c r="E12" i="26" s="1"/>
  <c r="F12" i="26" s="1" a="1"/>
  <c r="F12" i="26" s="1"/>
  <c r="C8" i="26"/>
  <c r="D8" i="26"/>
  <c r="C52" i="26"/>
  <c r="D52" i="26"/>
  <c r="E52" i="26" s="1"/>
  <c r="F52" i="26" s="1" a="1"/>
  <c r="F52" i="26" s="1"/>
  <c r="C51" i="26"/>
  <c r="D51" i="26"/>
  <c r="C47" i="26"/>
  <c r="D47" i="26"/>
  <c r="E47" i="26" s="1"/>
  <c r="F47" i="26" s="1" a="1"/>
  <c r="F47" i="26" s="1"/>
  <c r="C43" i="26"/>
  <c r="D43" i="26"/>
  <c r="E43" i="26" s="1"/>
  <c r="F43" i="26" s="1" a="1"/>
  <c r="F43" i="26" s="1"/>
  <c r="C39" i="26"/>
  <c r="D39" i="26"/>
  <c r="C35" i="26"/>
  <c r="D35" i="26"/>
  <c r="E35" i="26" s="1"/>
  <c r="F35" i="26" s="1" a="1"/>
  <c r="F35" i="26" s="1"/>
  <c r="C31" i="26"/>
  <c r="D31" i="26"/>
  <c r="C27" i="26"/>
  <c r="D27" i="26"/>
  <c r="E27" i="26" s="1"/>
  <c r="F27" i="26" s="1" a="1"/>
  <c r="F27" i="26" s="1"/>
  <c r="C23" i="26"/>
  <c r="D23" i="26"/>
  <c r="C19" i="26"/>
  <c r="D19" i="26"/>
  <c r="E19" i="26" s="1"/>
  <c r="F19" i="26" s="1" a="1"/>
  <c r="F19" i="26" s="1"/>
  <c r="C15" i="26"/>
  <c r="D15" i="26"/>
  <c r="C11" i="26"/>
  <c r="D11" i="26"/>
  <c r="E11" i="26" s="1"/>
  <c r="F11" i="26" s="1" a="1"/>
  <c r="F11" i="26" s="1"/>
  <c r="C7" i="26"/>
  <c r="D7" i="26"/>
  <c r="C50" i="26"/>
  <c r="D50" i="26"/>
  <c r="C46" i="26"/>
  <c r="D46" i="26"/>
  <c r="E46" i="26" s="1"/>
  <c r="F46" i="26" s="1" a="1"/>
  <c r="F46" i="26" s="1"/>
  <c r="C42" i="26"/>
  <c r="D42" i="26"/>
  <c r="C38" i="26"/>
  <c r="D38" i="26"/>
  <c r="E38" i="26" s="1"/>
  <c r="F38" i="26" s="1" a="1"/>
  <c r="F38" i="26" s="1"/>
  <c r="C34" i="26"/>
  <c r="D34" i="26"/>
  <c r="C30" i="26"/>
  <c r="D30" i="26"/>
  <c r="E30" i="26" s="1"/>
  <c r="F30" i="26" s="1" a="1"/>
  <c r="F30" i="26" s="1"/>
  <c r="C26" i="26"/>
  <c r="D26" i="26"/>
  <c r="C22" i="26"/>
  <c r="D22" i="26"/>
  <c r="E22" i="26" s="1"/>
  <c r="F22" i="26" s="1" a="1"/>
  <c r="F22" i="26" s="1"/>
  <c r="C18" i="26"/>
  <c r="D18" i="26"/>
  <c r="C14" i="26"/>
  <c r="D14" i="26"/>
  <c r="E14" i="26" s="1"/>
  <c r="F14" i="26" s="1" a="1"/>
  <c r="F14" i="26" s="1"/>
  <c r="C10" i="26"/>
  <c r="D10" i="26"/>
  <c r="E10" i="26" s="1"/>
  <c r="F10" i="26" s="1" a="1"/>
  <c r="F10" i="26" s="1"/>
  <c r="C6" i="26"/>
  <c r="D6" i="26"/>
  <c r="E6" i="26" s="1"/>
  <c r="F6" i="26" s="1" a="1"/>
  <c r="F6" i="26" s="1"/>
  <c r="E5" i="26"/>
  <c r="F5" i="26" s="1" a="1"/>
  <c r="F5" i="26" s="1"/>
  <c r="E41" i="26"/>
  <c r="F41" i="26" s="1" a="1"/>
  <c r="F41" i="26" s="1"/>
  <c r="E33" i="26"/>
  <c r="F33" i="26" s="1" a="1"/>
  <c r="F33" i="26" s="1"/>
  <c r="E25" i="26"/>
  <c r="F25" i="26" s="1" a="1"/>
  <c r="F25" i="26" s="1"/>
  <c r="E17" i="26"/>
  <c r="F17" i="26" s="1" a="1"/>
  <c r="F17" i="26" s="1"/>
  <c r="E51" i="26"/>
  <c r="F51" i="26" s="1" a="1"/>
  <c r="F51" i="26" s="1"/>
  <c r="E48" i="26"/>
  <c r="F48" i="26" s="1" a="1"/>
  <c r="F48" i="26" s="1"/>
  <c r="E40" i="26"/>
  <c r="F40" i="26" s="1" a="1"/>
  <c r="F40" i="26" s="1"/>
  <c r="E32" i="26"/>
  <c r="F32" i="26" s="1" a="1"/>
  <c r="F32" i="26" s="1"/>
  <c r="E24" i="26"/>
  <c r="F24" i="26" s="1" a="1"/>
  <c r="F24" i="26" s="1"/>
  <c r="E16" i="26"/>
  <c r="F16" i="26" s="1" a="1"/>
  <c r="F16" i="26" s="1"/>
  <c r="E8" i="26"/>
  <c r="F8" i="26" s="1" a="1"/>
  <c r="F8" i="26" s="1"/>
  <c r="E39" i="26"/>
  <c r="F39" i="26" s="1" a="1"/>
  <c r="F39" i="26" s="1"/>
  <c r="E31" i="26"/>
  <c r="F31" i="26" s="1" a="1"/>
  <c r="F31" i="26" s="1"/>
  <c r="E23" i="26"/>
  <c r="F23" i="26" s="1" a="1"/>
  <c r="F23" i="26" s="1"/>
  <c r="E15" i="26"/>
  <c r="F15" i="26" s="1" a="1"/>
  <c r="F15" i="26" s="1"/>
  <c r="E53" i="26"/>
  <c r="F53" i="26" s="1" a="1"/>
  <c r="F53" i="26" s="1"/>
  <c r="E50" i="26"/>
  <c r="F50" i="26" s="1" a="1"/>
  <c r="F50" i="26" s="1"/>
  <c r="E42" i="26"/>
  <c r="F42" i="26" s="1" a="1"/>
  <c r="F42" i="26" s="1"/>
  <c r="E34" i="26"/>
  <c r="F34" i="26" s="1" a="1"/>
  <c r="F34" i="26" s="1"/>
  <c r="E26" i="26"/>
  <c r="F26" i="26" s="1" a="1"/>
  <c r="F26" i="26" s="1"/>
  <c r="E18" i="26"/>
  <c r="F18" i="26" s="1" a="1"/>
  <c r="F18" i="26" s="1"/>
  <c r="E7" i="26"/>
  <c r="F7" i="26" s="1" a="1"/>
  <c r="F7" i="26" s="1"/>
  <c r="E49" i="26"/>
  <c r="F49" i="26" s="1" a="1"/>
  <c r="F49" i="2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<sst xmlns="http://schemas.openxmlformats.org/spreadsheetml/2006/main" count="527" uniqueCount="383">
  <si>
    <t>＃</t>
    <phoneticPr fontId="1"/>
  </si>
  <si>
    <t>URL</t>
    <phoneticPr fontId="2"/>
  </si>
  <si>
    <t>最新バージョン</t>
    <rPh sb="0" eb="2">
      <t>サイシン</t>
    </rPh>
    <phoneticPr fontId="1"/>
  </si>
  <si>
    <t>＃</t>
    <phoneticPr fontId="2"/>
  </si>
  <si>
    <t>https://www.ipa.go.jp/security/announce/alert.html</t>
    <phoneticPr fontId="1"/>
  </si>
  <si>
    <t>Lhaplus</t>
  </si>
  <si>
    <t>Mozilla Firefox</t>
  </si>
  <si>
    <t>Mozilla Thunderbird</t>
  </si>
  <si>
    <t>iTunes</t>
  </si>
  <si>
    <t>Lunascape</t>
  </si>
  <si>
    <t>Google Chrome</t>
  </si>
  <si>
    <t>注意喚起サイト</t>
    <rPh sb="0" eb="2">
      <t>チュウイ</t>
    </rPh>
    <rPh sb="2" eb="4">
      <t>カンキ</t>
    </rPh>
    <phoneticPr fontId="2"/>
  </si>
  <si>
    <t>Vulnerability Notes Database</t>
  </si>
  <si>
    <t>NVD(National Vulnerability Database)</t>
  </si>
  <si>
    <t>IPA：重要なセキュリティ情報一覧</t>
  </si>
  <si>
    <t>ソフトウェア</t>
    <phoneticPr fontId="1"/>
  </si>
  <si>
    <t>URL</t>
  </si>
  <si>
    <t>LibreOffice</t>
  </si>
  <si>
    <t>ニュースサイト</t>
  </si>
  <si>
    <t>https://www.theregister.co.uk/security/</t>
    <phoneticPr fontId="1"/>
  </si>
  <si>
    <t>https://www.computerworld.com/category/security/</t>
    <phoneticPr fontId="1"/>
  </si>
  <si>
    <t>Metasploit</t>
  </si>
  <si>
    <t>Exploit Database</t>
  </si>
  <si>
    <t>https://www.kb.cert.org/vuls/</t>
    <phoneticPr fontId="1"/>
  </si>
  <si>
    <t>脆弱性対策情報データベース JVN iPedia</t>
  </si>
  <si>
    <t>JVN (Japan Vulnerability Notes)</t>
    <phoneticPr fontId="1"/>
  </si>
  <si>
    <t>ソフトウェア</t>
    <phoneticPr fontId="2"/>
  </si>
  <si>
    <t>脆弱性関連情報データベース</t>
    <rPh sb="3" eb="5">
      <t>カンレン</t>
    </rPh>
    <rPh sb="5" eb="7">
      <t>ジョウホウ</t>
    </rPh>
    <phoneticPr fontId="1"/>
  </si>
  <si>
    <t>https://jvndb.jvn.jp/cvss/ja/v3.html</t>
    <phoneticPr fontId="1"/>
  </si>
  <si>
    <t>CVSS計算ツール（CVSSv3）</t>
    <rPh sb="4" eb="6">
      <t>ケイサン</t>
    </rPh>
    <phoneticPr fontId="1"/>
  </si>
  <si>
    <t>○</t>
    <phoneticPr fontId="1"/>
  </si>
  <si>
    <t>利用しているソフトウェア一覧</t>
  </si>
  <si>
    <t>よく使われる収集先一覧</t>
    <phoneticPr fontId="1"/>
  </si>
  <si>
    <t>https://jvn.jp/</t>
    <phoneticPr fontId="1"/>
  </si>
  <si>
    <t>Mozilla Firefox_ESR</t>
  </si>
  <si>
    <t>おすすめ度</t>
    <rPh sb="4" eb="5">
      <t>ド</t>
    </rPh>
    <phoneticPr fontId="1"/>
  </si>
  <si>
    <t>◎</t>
  </si>
  <si>
    <t>Windows 8.1</t>
    <phoneticPr fontId="1"/>
  </si>
  <si>
    <t>①キーボードの「Windows」キーを押しながら「R」キーを押します。
②「ファイル名を指定して実行」の「名前」欄に「winver」と入力し、「OK」をクリックします。</t>
    <phoneticPr fontId="1"/>
  </si>
  <si>
    <t>①Lhaplusを起動します。
②タブの「バージョン情報」をクリックします。</t>
    <rPh sb="9" eb="11">
      <t>キドウ</t>
    </rPh>
    <rPh sb="26" eb="28">
      <t>ジョウホウ</t>
    </rPh>
    <phoneticPr fontId="1"/>
  </si>
  <si>
    <t>実証コードあり</t>
    <phoneticPr fontId="1"/>
  </si>
  <si>
    <t>緊急度：高</t>
    <phoneticPr fontId="1"/>
  </si>
  <si>
    <t>緊急度：中～高</t>
    <phoneticPr fontId="1"/>
  </si>
  <si>
    <t>緊急度：低</t>
    <phoneticPr fontId="1"/>
  </si>
  <si>
    <t>収集情報1</t>
    <rPh sb="0" eb="2">
      <t>シュウシュウ</t>
    </rPh>
    <rPh sb="2" eb="4">
      <t>ジョウホウ</t>
    </rPh>
    <phoneticPr fontId="1"/>
  </si>
  <si>
    <t>収集情報2</t>
    <rPh sb="0" eb="2">
      <t>シュウシュウ</t>
    </rPh>
    <rPh sb="2" eb="4">
      <t>ジョウホウ</t>
    </rPh>
    <phoneticPr fontId="1"/>
  </si>
  <si>
    <t>収集情報3</t>
    <rPh sb="0" eb="2">
      <t>シュウシュウ</t>
    </rPh>
    <rPh sb="2" eb="4">
      <t>ジョウホウ</t>
    </rPh>
    <phoneticPr fontId="1"/>
  </si>
  <si>
    <t>収集情報4</t>
    <rPh sb="0" eb="2">
      <t>シュウシュウ</t>
    </rPh>
    <rPh sb="2" eb="4">
      <t>ジョウホウ</t>
    </rPh>
    <phoneticPr fontId="1"/>
  </si>
  <si>
    <t>収集情報5</t>
    <rPh sb="0" eb="2">
      <t>シュウシュウ</t>
    </rPh>
    <rPh sb="2" eb="4">
      <t>ジョウホウ</t>
    </rPh>
    <phoneticPr fontId="1"/>
  </si>
  <si>
    <t>ソフトウェア</t>
    <phoneticPr fontId="1"/>
  </si>
  <si>
    <t>JPCERT/CC：注意喚起</t>
    <phoneticPr fontId="1"/>
  </si>
  <si>
    <t>警察庁：トピックス</t>
    <phoneticPr fontId="1"/>
  </si>
  <si>
    <t>US-CERT：Current Activity</t>
    <phoneticPr fontId="1"/>
  </si>
  <si>
    <t>ラック：注意喚起</t>
    <phoneticPr fontId="1"/>
  </si>
  <si>
    <t xml:space="preserve">ScanNetSecurity </t>
    <phoneticPr fontId="1"/>
  </si>
  <si>
    <t>日経クロステック：ITセキュリティー</t>
    <phoneticPr fontId="1"/>
  </si>
  <si>
    <t>①Becky! Internet Mailを起動します。
②タブの「ヘルプ」-「Becky!について」をクリックします。</t>
    <rPh sb="22" eb="24">
      <t>キドウ</t>
    </rPh>
    <phoneticPr fontId="1"/>
  </si>
  <si>
    <t>WinSCP</t>
    <phoneticPr fontId="1"/>
  </si>
  <si>
    <t>Tera Term</t>
    <phoneticPr fontId="1"/>
  </si>
  <si>
    <t>NISC：内閣サイバー(注意・警戒情報)</t>
    <phoneticPr fontId="1"/>
  </si>
  <si>
    <t>セキュリティ対策推進協議会：注意喚起</t>
    <phoneticPr fontId="1"/>
  </si>
  <si>
    <t>US-CERT：Alerts</t>
    <phoneticPr fontId="1"/>
  </si>
  <si>
    <t>ICS-CERT：ICS-CERT Alerts</t>
    <phoneticPr fontId="1"/>
  </si>
  <si>
    <t xml:space="preserve">Security NEXT </t>
  </si>
  <si>
    <t>INTERNET Watch：セキュリティ</t>
    <phoneticPr fontId="1"/>
  </si>
  <si>
    <t>ITmedia エンタープライズ：セキュリティ</t>
    <phoneticPr fontId="1"/>
  </si>
  <si>
    <t>CNET ニュース：セキュリティ</t>
    <phoneticPr fontId="1"/>
  </si>
  <si>
    <t>ZDNet Japan：セキュリティ</t>
    <phoneticPr fontId="1"/>
  </si>
  <si>
    <t xml:space="preserve">ComputerWorld：Security </t>
    <phoneticPr fontId="1"/>
  </si>
  <si>
    <t xml:space="preserve">The Register：Security </t>
    <phoneticPr fontId="1"/>
  </si>
  <si>
    <t>よく使われる収集先一覧</t>
  </si>
  <si>
    <t>1.　はじめに</t>
  </si>
  <si>
    <t>　　</t>
    <phoneticPr fontId="2"/>
  </si>
  <si>
    <t>緊急度：対策不要</t>
    <rPh sb="0" eb="1">
      <t>タイサク</t>
    </rPh>
    <rPh sb="1" eb="3">
      <t>フヨウ</t>
    </rPh>
    <phoneticPr fontId="1"/>
  </si>
  <si>
    <t>よく使われるソフトウェア一覧</t>
    <phoneticPr fontId="2"/>
  </si>
  <si>
    <t>備考</t>
    <rPh sb="0" eb="2">
      <t>ビコウ</t>
    </rPh>
    <phoneticPr fontId="1"/>
  </si>
  <si>
    <t>判定用</t>
    <phoneticPr fontId="1"/>
  </si>
  <si>
    <t>判定用2</t>
    <rPh sb="0" eb="2">
      <t>ハンテイヨウ2</t>
    </rPh>
    <phoneticPr fontId="1"/>
  </si>
  <si>
    <t>緊急度：低</t>
  </si>
  <si>
    <t>対応不要</t>
    <rPh sb="0" eb="2">
      <t>タイオウ</t>
    </rPh>
    <rPh sb="2" eb="4">
      <t>フヨウ</t>
    </rPh>
    <phoneticPr fontId="1"/>
  </si>
  <si>
    <t>緊急度・対応方針設定</t>
    <rPh sb="0" eb="3">
      <t>キンキュウド</t>
    </rPh>
    <rPh sb="4" eb="6">
      <t>タイオウ</t>
    </rPh>
    <rPh sb="6" eb="7">
      <t>カタ</t>
    </rPh>
    <rPh sb="8" eb="10">
      <t>セッテイ</t>
    </rPh>
    <phoneticPr fontId="2"/>
  </si>
  <si>
    <t>優先対応の判断要素となる評価項目</t>
    <rPh sb="0" eb="2">
      <t>ユウセン</t>
    </rPh>
    <rPh sb="2" eb="4">
      <t>タイオウ</t>
    </rPh>
    <rPh sb="5" eb="7">
      <t>ハンダン</t>
    </rPh>
    <rPh sb="7" eb="9">
      <t>ヨウソ</t>
    </rPh>
    <rPh sb="12" eb="14">
      <t>ヒョウカ</t>
    </rPh>
    <rPh sb="14" eb="16">
      <t>コウモク</t>
    </rPh>
    <phoneticPr fontId="1"/>
  </si>
  <si>
    <t>2～3日以内に実施</t>
    <rPh sb="3" eb="4">
      <t>ヒ</t>
    </rPh>
    <rPh sb="4" eb="5">
      <t>ナイ</t>
    </rPh>
    <rPh sb="6" eb="8">
      <t>ジッシ</t>
    </rPh>
    <phoneticPr fontId="1"/>
  </si>
  <si>
    <t>https://www.ncsc.gov.uk/section/keep-up-to-date/reports-advisories</t>
    <phoneticPr fontId="1"/>
  </si>
  <si>
    <t>NCSC：Reports &amp; advisories</t>
    <phoneticPr fontId="1"/>
  </si>
  <si>
    <t>Windows Server 2016</t>
    <phoneticPr fontId="1"/>
  </si>
  <si>
    <t>①iTunesを起動します。
②タブの「ヘルプ」にある「更新プログラムを確認」を開きます。</t>
    <rPh sb="8" eb="10">
      <t>キドウ</t>
    </rPh>
    <rPh sb="28" eb="30">
      <t>コウシン</t>
    </rPh>
    <rPh sb="36" eb="38">
      <t>カクニン</t>
    </rPh>
    <rPh sb="40" eb="41">
      <t>ヒラ</t>
    </rPh>
    <phoneticPr fontId="1"/>
  </si>
  <si>
    <t>①Lunascapeを起動します。
②ヘルプの「バージョン情報」をクリックします。</t>
    <rPh sb="11" eb="13">
      <t>キドウ</t>
    </rPh>
    <rPh sb="29" eb="31">
      <t>ジョウホウ</t>
    </rPh>
    <phoneticPr fontId="1"/>
  </si>
  <si>
    <t>①キーボードの「Windows」キーを押しながら「R」キーを押します。
②「ファイル名を指定して実行」の「名前」欄に「appwiz.cpl」(Win8.1)または「ms-settings:appsfeatures」(Win10)と入力し、「OK」をクリックします。</t>
  </si>
  <si>
    <t>①キーボードの「Windows」キーを押しながら「R」キーを押します。
②「ファイル名を指定して実行」の「名前」欄に「appwiz.cpl」(Win8.1)または「ms-settings:appsfeatures」(Win10)と入力し、「OK」をクリックします。</t>
    <phoneticPr fontId="1"/>
  </si>
  <si>
    <t>緊急度：低～中</t>
    <phoneticPr fontId="1"/>
  </si>
  <si>
    <t>最新バージョン</t>
    <rPh sb="0" eb="2">
      <t>サイシン</t>
    </rPh>
    <phoneticPr fontId="2"/>
  </si>
  <si>
    <t>自動更新のため対応不要</t>
    <rPh sb="0" eb="1">
      <t>ジドウ</t>
    </rPh>
    <rPh sb="1" eb="3">
      <t>コウシン</t>
    </rPh>
    <rPh sb="6" eb="8">
      <t>タイオウ</t>
    </rPh>
    <rPh sb="8" eb="10">
      <t>フヨウ</t>
    </rPh>
    <phoneticPr fontId="1"/>
  </si>
  <si>
    <t>①キーボードの「Windows」キーを押しながら「R」キーを押します。
②「ファイル名を指定して実行」の「名前」欄に「ms-settings:windowsupdate」と入力し、「OK」をクリックします。</t>
    <phoneticPr fontId="1"/>
  </si>
  <si>
    <t>https://www.jpcert.or.jp/at/2020.html</t>
    <phoneticPr fontId="1"/>
  </si>
  <si>
    <t>https://twitter.com/nisc_forecast</t>
    <phoneticPr fontId="1"/>
  </si>
  <si>
    <t>https://www.npa.go.jp/cyberpolice/</t>
    <phoneticPr fontId="1"/>
  </si>
  <si>
    <t>https://www.spread.or.jp/security_info/</t>
    <phoneticPr fontId="1"/>
  </si>
  <si>
    <t>https://www.lac.co.jp/lacwatch/alert/</t>
    <phoneticPr fontId="1"/>
  </si>
  <si>
    <t>https://nvd.nist.gov/vuln/search</t>
    <phoneticPr fontId="1"/>
  </si>
  <si>
    <t>https://www.metasploit.com/</t>
    <phoneticPr fontId="1"/>
  </si>
  <si>
    <t>https://www.exploit-db.com/</t>
    <phoneticPr fontId="1"/>
  </si>
  <si>
    <t>https://tech.nikkeibp.co.jp/genre/security/</t>
    <phoneticPr fontId="1"/>
  </si>
  <si>
    <t>https://scan.netsecurity.ne.jp/</t>
    <phoneticPr fontId="1"/>
  </si>
  <si>
    <t>https://japan.cnet.com/news/sec/</t>
    <phoneticPr fontId="1"/>
  </si>
  <si>
    <t>https://internet.watch.impress.co.jp/category/topic/security/</t>
    <phoneticPr fontId="1"/>
  </si>
  <si>
    <t>https://www.bleepingcomputer.com/</t>
    <phoneticPr fontId="1"/>
  </si>
  <si>
    <t>Adobe Flash Player（AcitveX）</t>
    <phoneticPr fontId="1"/>
  </si>
  <si>
    <t>Adobe Acrobat Reader DC</t>
    <phoneticPr fontId="1"/>
  </si>
  <si>
    <t>Becky! Ver.2</t>
    <phoneticPr fontId="1"/>
  </si>
  <si>
    <t>①キーボードの「Windows」キーを押しながら「R」キーを押します。
②オプションの「名前」欄に「appwiz.cpl」(Win8.1)または「ms-settings:appsfeatures」(Win10)と入力し、「OK」をクリックします。</t>
    <phoneticPr fontId="1"/>
  </si>
  <si>
    <t>①Internet Explorerを起動します。
②右上の「ツール（歯車アイコン）」から「アドオンの管理」をクリックします。
③「ツールバーと拡張機能」にある「Shockwave Flash Object」をクリックします。</t>
    <rPh sb="19" eb="21">
      <t>キドウ</t>
    </rPh>
    <rPh sb="72" eb="74">
      <t>カクチョウ</t>
    </rPh>
    <rPh sb="74" eb="76">
      <t>キノウ</t>
    </rPh>
    <phoneticPr fontId="1"/>
  </si>
  <si>
    <t>Adobe Flash Player 32 NPAPI</t>
    <phoneticPr fontId="1"/>
  </si>
  <si>
    <t>Adobe Flash Player 32 PPAPI</t>
    <phoneticPr fontId="1"/>
  </si>
  <si>
    <t>OpenOffice</t>
    <phoneticPr fontId="1"/>
  </si>
  <si>
    <t>VMware Workstation</t>
    <phoneticPr fontId="1"/>
  </si>
  <si>
    <t>Adobe AIR</t>
    <phoneticPr fontId="1"/>
  </si>
  <si>
    <t>https://jvndb.jvn.jp/index.html</t>
    <phoneticPr fontId="1"/>
  </si>
  <si>
    <t>Rapid7：Vulnerability&amp;Exploit Database</t>
    <phoneticPr fontId="1"/>
  </si>
  <si>
    <t>https://www.rapid7.com/db/?q=&amp;type=nexpose</t>
    <phoneticPr fontId="1"/>
  </si>
  <si>
    <t>　【参考】
　IPAが公開したIPAテクニカルウォッチ「脆弱性対策の効果的な進め方（ツール活用編）」の脆弱性対策の進め方のフローの以下の赤枠工程を補います。</t>
    <phoneticPr fontId="2"/>
  </si>
  <si>
    <t>2.　各シートの利用方法</t>
    <rPh sb="3" eb="4">
      <t>カク</t>
    </rPh>
    <rPh sb="8" eb="10">
      <t>リヨウ</t>
    </rPh>
    <rPh sb="10" eb="12">
      <t>ホウホウ</t>
    </rPh>
    <phoneticPr fontId="2"/>
  </si>
  <si>
    <t>脆弱性対策の適用判断</t>
    <phoneticPr fontId="2"/>
  </si>
  <si>
    <t>CVSS評価（現状値or環境値）</t>
    <rPh sb="4" eb="6">
      <t>ヒョウカ</t>
    </rPh>
    <rPh sb="7" eb="9">
      <t>ゲンジョウ</t>
    </rPh>
    <rPh sb="9" eb="10">
      <t>チ</t>
    </rPh>
    <rPh sb="12" eb="14">
      <t>カンキョウ</t>
    </rPh>
    <rPh sb="14" eb="15">
      <t>チ</t>
    </rPh>
    <phoneticPr fontId="1"/>
  </si>
  <si>
    <t>バージョン情報の調査</t>
    <phoneticPr fontId="2"/>
  </si>
  <si>
    <t>製品ベンダサイト等の調査</t>
    <rPh sb="8" eb="9">
      <t>トウ</t>
    </rPh>
    <phoneticPr fontId="2"/>
  </si>
  <si>
    <t>情報収集先の選定</t>
    <phoneticPr fontId="2"/>
  </si>
  <si>
    <t>対応方針の設定</t>
    <phoneticPr fontId="2"/>
  </si>
  <si>
    <t>脆弱性の影響度の確認</t>
    <phoneticPr fontId="2"/>
  </si>
  <si>
    <t>現在利用しているバージョンの確認方法</t>
    <rPh sb="0" eb="2">
      <t>ゲンザイ</t>
    </rPh>
    <rPh sb="2" eb="4">
      <t>リヨウ</t>
    </rPh>
    <rPh sb="14" eb="16">
      <t>カクニン</t>
    </rPh>
    <rPh sb="16" eb="18">
      <t>ホウホウ</t>
    </rPh>
    <phoneticPr fontId="1"/>
  </si>
  <si>
    <t>最新バージョンが確認可能なサイト（リリース情報や確認方法等）</t>
    <rPh sb="0" eb="2">
      <t>サイシン</t>
    </rPh>
    <rPh sb="8" eb="10">
      <t>カクニン</t>
    </rPh>
    <rPh sb="10" eb="12">
      <t>カノウ</t>
    </rPh>
    <rPh sb="21" eb="23">
      <t>ジョウホウ</t>
    </rPh>
    <rPh sb="24" eb="26">
      <t>カクニン</t>
    </rPh>
    <rPh sb="26" eb="28">
      <t>ホウホウ</t>
    </rPh>
    <rPh sb="28" eb="29">
      <t>ナド</t>
    </rPh>
    <phoneticPr fontId="2"/>
  </si>
  <si>
    <t>最新バージョン提供サイト（最新バージョンを取得する方法等）</t>
    <rPh sb="0" eb="2">
      <t>サイシン</t>
    </rPh>
    <rPh sb="7" eb="9">
      <t>テイキョウ</t>
    </rPh>
    <rPh sb="13" eb="15">
      <t>サイシン</t>
    </rPh>
    <rPh sb="21" eb="23">
      <t>シュトク</t>
    </rPh>
    <rPh sb="25" eb="28">
      <t>ホウホウナド</t>
    </rPh>
    <phoneticPr fontId="1"/>
  </si>
  <si>
    <t>製品ベンダサイト（セキュリティアドバイザリ等）</t>
    <rPh sb="0" eb="2">
      <t>セイヒン</t>
    </rPh>
    <phoneticPr fontId="1"/>
  </si>
  <si>
    <t>現在利用しているバージョンの確認方法</t>
    <phoneticPr fontId="1"/>
  </si>
  <si>
    <t>最新バージョンが確認可能なサイト（リリース情報や確認方法等）</t>
    <rPh sb="0" eb="2">
      <t>サイシン</t>
    </rPh>
    <rPh sb="8" eb="10">
      <t>カクニン</t>
    </rPh>
    <rPh sb="10" eb="12">
      <t>カノウ</t>
    </rPh>
    <rPh sb="21" eb="23">
      <t>ジョウホウ</t>
    </rPh>
    <rPh sb="24" eb="26">
      <t>カクニン</t>
    </rPh>
    <rPh sb="26" eb="29">
      <t>ホウホウナド</t>
    </rPh>
    <phoneticPr fontId="2"/>
  </si>
  <si>
    <t>最新バージョンが確認できるサイト（リリース情報等）</t>
    <rPh sb="0" eb="2">
      <t>サイシン</t>
    </rPh>
    <rPh sb="8" eb="10">
      <t>カクニン</t>
    </rPh>
    <rPh sb="21" eb="23">
      <t>ジョウホウ</t>
    </rPh>
    <rPh sb="23" eb="24">
      <t>ナド</t>
    </rPh>
    <phoneticPr fontId="2"/>
  </si>
  <si>
    <t>最新バージョンの公表日</t>
    <rPh sb="0" eb="2">
      <t>サイシン</t>
    </rPh>
    <rPh sb="8" eb="10">
      <t>コウヒョウ</t>
    </rPh>
    <rPh sb="10" eb="11">
      <t>ビ</t>
    </rPh>
    <phoneticPr fontId="1"/>
  </si>
  <si>
    <t>製品ベンダサイト（セキュリティアドバイザリ等）</t>
    <rPh sb="0" eb="2">
      <t>セイヒン</t>
    </rPh>
    <rPh sb="21" eb="22">
      <t>ナド</t>
    </rPh>
    <phoneticPr fontId="2"/>
  </si>
  <si>
    <t>脆弱性の影響を受けるバージョンか</t>
    <rPh sb="0" eb="3">
      <t>ゼイジャクセイ</t>
    </rPh>
    <rPh sb="4" eb="6">
      <t>エイキョウ</t>
    </rPh>
    <rPh sb="7" eb="8">
      <t>ウ</t>
    </rPh>
    <phoneticPr fontId="1"/>
  </si>
  <si>
    <t>ネットワーク越しからの攻撃が可能か</t>
    <rPh sb="6" eb="7">
      <t>ゴ</t>
    </rPh>
    <rPh sb="11" eb="13">
      <t>コウゲキ</t>
    </rPh>
    <rPh sb="14" eb="16">
      <t>カノウ</t>
    </rPh>
    <phoneticPr fontId="1"/>
  </si>
  <si>
    <t>脆弱性を悪用した攻撃は行われているか</t>
    <rPh sb="0" eb="3">
      <t>ゼイジャクセイ</t>
    </rPh>
    <rPh sb="4" eb="6">
      <t>アクヨウ</t>
    </rPh>
    <rPh sb="8" eb="10">
      <t>コウゲキ</t>
    </rPh>
    <rPh sb="11" eb="12">
      <t>オコナ</t>
    </rPh>
    <phoneticPr fontId="1"/>
  </si>
  <si>
    <t>実証コード（PoC）は公開されているか</t>
    <rPh sb="0" eb="2">
      <t>ジッショウ</t>
    </rPh>
    <rPh sb="11" eb="13">
      <t>コウカイ</t>
    </rPh>
    <phoneticPr fontId="1"/>
  </si>
  <si>
    <t>製品ベンダサイト（セキュリティアドバイザリ等）</t>
    <rPh sb="0" eb="2">
      <t>セイヒン</t>
    </rPh>
    <rPh sb="21" eb="22">
      <t>ナド</t>
    </rPh>
    <phoneticPr fontId="1"/>
  </si>
  <si>
    <t>CVSS評価はいくつか（現状値or環境値）</t>
    <rPh sb="4" eb="6">
      <t>ヒョウカ</t>
    </rPh>
    <rPh sb="12" eb="14">
      <t>ゲンジョウ</t>
    </rPh>
    <rPh sb="14" eb="15">
      <t>チ</t>
    </rPh>
    <rPh sb="17" eb="19">
      <t>カンキョウ</t>
    </rPh>
    <rPh sb="19" eb="20">
      <t>チ</t>
    </rPh>
    <phoneticPr fontId="1"/>
  </si>
  <si>
    <t>1日以内に実施</t>
    <rPh sb="1" eb="2">
      <t>ニチ</t>
    </rPh>
    <rPh sb="2" eb="4">
      <t>イナイ</t>
    </rPh>
    <rPh sb="5" eb="7">
      <t>ジッシ</t>
    </rPh>
    <phoneticPr fontId="1"/>
  </si>
  <si>
    <t>対応方針目安</t>
    <rPh sb="0" eb="2">
      <t>タイオウ</t>
    </rPh>
    <rPh sb="2" eb="4">
      <t>ホウシン</t>
    </rPh>
    <rPh sb="4" eb="6">
      <t>メヤス</t>
    </rPh>
    <phoneticPr fontId="1"/>
  </si>
  <si>
    <t>７日以内に実施</t>
    <rPh sb="1" eb="2">
      <t>カ</t>
    </rPh>
    <rPh sb="2" eb="4">
      <t>イナイ</t>
    </rPh>
    <rPh sb="5" eb="7">
      <t>ジッシ</t>
    </rPh>
    <phoneticPr fontId="1"/>
  </si>
  <si>
    <t>１か月以内に実施</t>
    <rPh sb="2" eb="3">
      <t>ゲツ</t>
    </rPh>
    <rPh sb="3" eb="5">
      <t>イナイ</t>
    </rPh>
    <rPh sb="6" eb="8">
      <t>ジッシ</t>
    </rPh>
    <phoneticPr fontId="1"/>
  </si>
  <si>
    <t>緊急度：高</t>
  </si>
  <si>
    <t>緊急度：中～高</t>
  </si>
  <si>
    <t>緊急度：低～中</t>
  </si>
  <si>
    <t>作業概要</t>
    <rPh sb="0" eb="2">
      <t>サギョウ</t>
    </rPh>
    <rPh sb="2" eb="4">
      <t>ガイヨウ</t>
    </rPh>
    <phoneticPr fontId="2"/>
  </si>
  <si>
    <t>シート概要</t>
    <rPh sb="3" eb="5">
      <t>ガイヨウ</t>
    </rPh>
    <phoneticPr fontId="2"/>
  </si>
  <si>
    <t>緊急度・対応方針設定</t>
    <rPh sb="4" eb="6">
      <t>タイオウ</t>
    </rPh>
    <rPh sb="6" eb="8">
      <t>ホウシン</t>
    </rPh>
    <phoneticPr fontId="2"/>
  </si>
  <si>
    <r>
      <t>シート</t>
    </r>
    <r>
      <rPr>
        <sz val="12"/>
        <color rgb="FF000000"/>
        <rFont val="IPA Pゴシック"/>
        <family val="3"/>
        <charset val="128"/>
      </rPr>
      <t>名</t>
    </r>
  </si>
  <si>
    <t>1.3.　利用上の注意</t>
    <rPh sb="5" eb="7">
      <t>リヨウ</t>
    </rPh>
    <rPh sb="7" eb="8">
      <t>ジョウ</t>
    </rPh>
    <rPh sb="9" eb="10">
      <t>チュウ</t>
    </rPh>
    <phoneticPr fontId="2"/>
  </si>
  <si>
    <t>収集した脆弱性関連情報の影響度（CVSSや攻撃情報の有無 等）を調査するシートです。</t>
    <phoneticPr fontId="2"/>
  </si>
  <si>
    <t>https://news.yahoo.co.jp/categories/it</t>
    <phoneticPr fontId="1"/>
  </si>
  <si>
    <t>BLEEPINGCOMPUTER</t>
    <phoneticPr fontId="1"/>
  </si>
  <si>
    <t>https://www.atmarkit.co.jp/ait/subtop/security.html</t>
    <phoneticPr fontId="1"/>
  </si>
  <si>
    <t>＠IT：セキュリティ</t>
    <phoneticPr fontId="1"/>
  </si>
  <si>
    <t>Yahoo!ニュース：IT</t>
    <phoneticPr fontId="1"/>
  </si>
  <si>
    <t>窓の杜</t>
    <rPh sb="0" eb="1">
      <t>マド</t>
    </rPh>
    <rPh sb="2" eb="3">
      <t>モリ</t>
    </rPh>
    <phoneticPr fontId="1"/>
  </si>
  <si>
    <t>マイナビニュース</t>
    <phoneticPr fontId="1"/>
  </si>
  <si>
    <t>https://news.mynavi.jp/top/business/enterprise/security/</t>
    <phoneticPr fontId="1"/>
  </si>
  <si>
    <t>threatpost</t>
    <phoneticPr fontId="1"/>
  </si>
  <si>
    <t>https://threatpost.com/</t>
    <phoneticPr fontId="1"/>
  </si>
  <si>
    <t>Microsoft Edge</t>
  </si>
  <si>
    <t>Microsoft Office</t>
    <phoneticPr fontId="1"/>
  </si>
  <si>
    <t>①Office製品（WordやExcel等） を起動します。
②「ファイル」タブをクリックし、左下の「アカウント」を開きます。</t>
    <rPh sb="7" eb="9">
      <t>セイヒン</t>
    </rPh>
    <rPh sb="20" eb="21">
      <t>ナド</t>
    </rPh>
    <rPh sb="47" eb="49">
      <t>ヒダリシタ</t>
    </rPh>
    <rPh sb="58" eb="59">
      <t>ヒラ</t>
    </rPh>
    <phoneticPr fontId="1"/>
  </si>
  <si>
    <t>①Office製品（WordやExcel等） を開き、「ファイル」タブをクリック、左下の「アカウント」をクリック、製品情報の「更新オプション」をクリックします。</t>
    <rPh sb="24" eb="25">
      <t>ヒラ</t>
    </rPh>
    <phoneticPr fontId="1"/>
  </si>
  <si>
    <t>https://www.oracle.com/security-alerts/</t>
    <phoneticPr fontId="1"/>
  </si>
  <si>
    <t>判定</t>
    <rPh sb="0" eb="2">
      <t>ハンテイ</t>
    </rPh>
    <phoneticPr fontId="1"/>
  </si>
  <si>
    <t>9.0以上</t>
    <rPh sb="2" eb="4">
      <t>イジョウ</t>
    </rPh>
    <phoneticPr fontId="1"/>
  </si>
  <si>
    <t>7.0以上、9.0未満</t>
    <rPh sb="2" eb="4">
      <t>イジョウ</t>
    </rPh>
    <rPh sb="9" eb="11">
      <t>ミマン</t>
    </rPh>
    <phoneticPr fontId="1"/>
  </si>
  <si>
    <t>4.0以上、7.0未満</t>
    <rPh sb="2" eb="4">
      <t>イジョウ</t>
    </rPh>
    <rPh sb="9" eb="11">
      <t>ミマン</t>
    </rPh>
    <phoneticPr fontId="1"/>
  </si>
  <si>
    <t>0.1以上、4.0未満</t>
    <rPh sb="3" eb="5">
      <t>イジョウ</t>
    </rPh>
    <rPh sb="9" eb="11">
      <t>ミマン</t>
    </rPh>
    <phoneticPr fontId="1"/>
  </si>
  <si>
    <t>攻撃情報あり</t>
    <rPh sb="0" eb="2">
      <t>コウゲキ</t>
    </rPh>
    <rPh sb="2" eb="4">
      <t>ジョウホウ</t>
    </rPh>
    <phoneticPr fontId="1"/>
  </si>
  <si>
    <t>ネットワーク越しから攻撃可能</t>
    <rPh sb="10" eb="12">
      <t>コウゲキ</t>
    </rPh>
    <rPh sb="12" eb="14">
      <t>カノウ</t>
    </rPh>
    <phoneticPr fontId="1"/>
  </si>
  <si>
    <t>（更新による影響の検証中）</t>
    <rPh sb="1" eb="2">
      <t>コウシン</t>
    </rPh>
    <rPh sb="5" eb="7">
      <t>エイキョウ</t>
    </rPh>
    <rPh sb="8" eb="11">
      <t>ケンショウチュウ</t>
    </rPh>
    <phoneticPr fontId="1"/>
  </si>
  <si>
    <t>ゼロデイ脆弱性か</t>
    <rPh sb="4" eb="7">
      <t>ゼイジャクセイ</t>
    </rPh>
    <phoneticPr fontId="1"/>
  </si>
  <si>
    <t>0（+未評価）</t>
    <phoneticPr fontId="1"/>
  </si>
  <si>
    <t>対策不要</t>
    <phoneticPr fontId="1"/>
  </si>
  <si>
    <t>ゼロデイ脆弱性</t>
    <rPh sb="3" eb="6">
      <t>ゼイジャクセイ</t>
    </rPh>
    <phoneticPr fontId="1"/>
  </si>
  <si>
    <t>脆弱性の緊急度</t>
    <rPh sb="0" eb="3">
      <t>ゼイジャクセイ</t>
    </rPh>
    <rPh sb="4" eb="7">
      <t>キンキュウド</t>
    </rPh>
    <phoneticPr fontId="1"/>
  </si>
  <si>
    <t>脆弱性の緊急度</t>
    <rPh sb="0" eb="3">
      <t>ゼイジャクセイ</t>
    </rPh>
    <phoneticPr fontId="1"/>
  </si>
  <si>
    <t>脆弱性情報参考URL</t>
    <rPh sb="0" eb="1">
      <t>ジャク</t>
    </rPh>
    <rPh sb="1" eb="2">
      <t>セイ</t>
    </rPh>
    <rPh sb="3" eb="5">
      <t>ジョウホウ</t>
    </rPh>
    <rPh sb="5" eb="7">
      <t>サンコウ</t>
    </rPh>
    <phoneticPr fontId="1"/>
  </si>
  <si>
    <t>重大（Critical）</t>
    <phoneticPr fontId="1"/>
  </si>
  <si>
    <t>重要（Important）</t>
    <phoneticPr fontId="1"/>
  </si>
  <si>
    <t>低い（Low）</t>
    <rPh sb="0" eb="1">
      <t>ヒク</t>
    </rPh>
    <phoneticPr fontId="1"/>
  </si>
  <si>
    <t>なし（None）</t>
    <phoneticPr fontId="1"/>
  </si>
  <si>
    <t>中（Moderate）</t>
    <rPh sb="0" eb="1">
      <t>チュウ</t>
    </rPh>
    <phoneticPr fontId="1"/>
  </si>
  <si>
    <t>https://portal.msrc.microsoft.com/ja-jp/security-guidance</t>
    <phoneticPr fontId="1"/>
  </si>
  <si>
    <t>製品ベンダサイト</t>
    <rPh sb="0" eb="2">
      <t>セイヒン</t>
    </rPh>
    <phoneticPr fontId="1"/>
  </si>
  <si>
    <t>Apple：Apple security updates</t>
  </si>
  <si>
    <t>https://helpx.adobe.com/security.html</t>
    <phoneticPr fontId="1"/>
  </si>
  <si>
    <t>Adobe：Security Bulletins and Advisories</t>
    <phoneticPr fontId="1"/>
  </si>
  <si>
    <t>Microsoft：Security Update Guide</t>
    <phoneticPr fontId="1"/>
  </si>
  <si>
    <t>Android：Android Security Bulletins</t>
    <phoneticPr fontId="1"/>
  </si>
  <si>
    <t>https://tools.cisco.com/security/center/publicationListing.x</t>
    <phoneticPr fontId="1"/>
  </si>
  <si>
    <t>https://source.android.com/security/bulletin</t>
    <phoneticPr fontId="1"/>
  </si>
  <si>
    <t>Cisco：Security Advisories</t>
    <phoneticPr fontId="1"/>
  </si>
  <si>
    <t>https://support.hp.com/jp-ja/security-bulletins</t>
    <phoneticPr fontId="1"/>
  </si>
  <si>
    <t>HP：セキュリティ情報アーカイブ</t>
    <phoneticPr fontId="1"/>
  </si>
  <si>
    <t>日立:セキュリティ情報</t>
    <rPh sb="0" eb="2">
      <t>ヒタチ</t>
    </rPh>
    <phoneticPr fontId="1"/>
  </si>
  <si>
    <t>http://www.hitachi.co.jp/hirt/security/index.html</t>
    <phoneticPr fontId="1"/>
  </si>
  <si>
    <t>https://www.fujitsu.com/jp/support/security/</t>
    <phoneticPr fontId="1"/>
  </si>
  <si>
    <t>富士通：セキュリティ情報</t>
    <phoneticPr fontId="1"/>
  </si>
  <si>
    <t>NEC：NEC製品セキュリティ情報</t>
    <phoneticPr fontId="1"/>
  </si>
  <si>
    <t>https://jpn.nec.com/security-info/</t>
    <phoneticPr fontId="1"/>
  </si>
  <si>
    <t>https://www.ibm.com/blogs/psirt/</t>
    <phoneticPr fontId="1"/>
  </si>
  <si>
    <t>IBM：IBM Product Security Incident Response</t>
    <phoneticPr fontId="1"/>
  </si>
  <si>
    <t>BROADCOM：Security Updates</t>
    <phoneticPr fontId="1"/>
  </si>
  <si>
    <t>Apache Foundation：Apache HTTP Serveｒ</t>
    <phoneticPr fontId="1"/>
  </si>
  <si>
    <t>Apache Foundation：Apache Tomcat</t>
    <phoneticPr fontId="1"/>
  </si>
  <si>
    <t>Apache Foundation：Apache Struts</t>
    <phoneticPr fontId="1"/>
  </si>
  <si>
    <t>ISC：BIND</t>
    <phoneticPr fontId="1"/>
  </si>
  <si>
    <t>https://kb.isc.org/docs/aa-00913</t>
    <phoneticPr fontId="1"/>
  </si>
  <si>
    <t>http://httpd.apache.org/security/vulnerabilities_24.html</t>
    <phoneticPr fontId="1"/>
  </si>
  <si>
    <t>https://cwiki.apache.org/confluence/display/WW/Security+Bulletins</t>
    <phoneticPr fontId="1"/>
  </si>
  <si>
    <t>Joomla!：Joomla！</t>
    <phoneticPr fontId="1"/>
  </si>
  <si>
    <t>https://developer.joomla.org/security-centre.html</t>
    <phoneticPr fontId="1"/>
  </si>
  <si>
    <t>OpenSSL Project：OpenSSL</t>
    <phoneticPr fontId="1"/>
  </si>
  <si>
    <t>https://www.openssl.org/news/vulnerabilities.html</t>
    <phoneticPr fontId="1"/>
  </si>
  <si>
    <t>WordPress.org：WordPress</t>
    <phoneticPr fontId="1"/>
  </si>
  <si>
    <t>https://wordpress.org/news/category/security/</t>
    <phoneticPr fontId="1"/>
  </si>
  <si>
    <t>https://appweb.trendmicro.com/supportNews/</t>
    <phoneticPr fontId="1"/>
  </si>
  <si>
    <t>TrendMicro：サポート情報</t>
    <phoneticPr fontId="1"/>
  </si>
  <si>
    <t>https://jp.broadcom.com/support/security-center/securityupdates/list</t>
    <phoneticPr fontId="1"/>
  </si>
  <si>
    <t>Oracle：Critical Patch Updates</t>
    <phoneticPr fontId="1"/>
  </si>
  <si>
    <t>https://japan.zdnet.com/security/</t>
    <phoneticPr fontId="1"/>
  </si>
  <si>
    <t>脆弱性関連情報の確認</t>
    <rPh sb="8" eb="10">
      <t>カクニン</t>
    </rPh>
    <phoneticPr fontId="2"/>
  </si>
  <si>
    <t>バージョン情報の確認</t>
    <rPh sb="5" eb="7">
      <t>ジョウホウ</t>
    </rPh>
    <rPh sb="8" eb="10">
      <t>カクニン</t>
    </rPh>
    <phoneticPr fontId="2"/>
  </si>
  <si>
    <t>https://us-cert.cisa.gov/ncas/current-activity</t>
    <phoneticPr fontId="1"/>
  </si>
  <si>
    <t>https://us-cert.cisa.gov/ncas/alerts</t>
    <phoneticPr fontId="1"/>
  </si>
  <si>
    <t>https://us-cert.cisa.gov/ics/alerts</t>
    <phoneticPr fontId="1"/>
  </si>
  <si>
    <t>https://www.itmedia.co.jp/enterprise/subtop/security/index.html</t>
    <phoneticPr fontId="1"/>
  </si>
  <si>
    <t>https://www.security-next.com/</t>
    <phoneticPr fontId="1"/>
  </si>
  <si>
    <t>https://support.apple.com/en-us/HT201222</t>
    <phoneticPr fontId="1"/>
  </si>
  <si>
    <t>Adobe Acrobat 2020</t>
    <phoneticPr fontId="1"/>
  </si>
  <si>
    <t>Wireshark</t>
  </si>
  <si>
    <t>対象ソフトウェアの再確認</t>
    <rPh sb="0" eb="2">
      <t>タイショウ</t>
    </rPh>
    <rPh sb="9" eb="10">
      <t>サイ</t>
    </rPh>
    <rPh sb="10" eb="12">
      <t>カクニン</t>
    </rPh>
    <phoneticPr fontId="2"/>
  </si>
  <si>
    <t>対象ソフトウェアの把握</t>
    <rPh sb="0" eb="2">
      <t>タイショウ</t>
    </rPh>
    <phoneticPr fontId="2"/>
  </si>
  <si>
    <t>よく使われるソフトウェア一覧</t>
    <phoneticPr fontId="1"/>
  </si>
  <si>
    <t>（ソフトウェアに自動更新機能がある）</t>
    <rPh sb="8" eb="10">
      <t>ジドウ</t>
    </rPh>
    <rPh sb="10" eb="12">
      <t>コウシン</t>
    </rPh>
    <rPh sb="12" eb="14">
      <t>キノウ</t>
    </rPh>
    <phoneticPr fontId="1"/>
  </si>
  <si>
    <t>サポート終了のため利用停止</t>
    <rPh sb="3" eb="5">
      <t>シュウリョウ</t>
    </rPh>
    <rPh sb="8" eb="10">
      <t>リヨウ</t>
    </rPh>
    <rPh sb="10" eb="12">
      <t>テイシ</t>
    </rPh>
    <phoneticPr fontId="1"/>
  </si>
  <si>
    <t>影響検証中のため更新保留</t>
    <rPh sb="0" eb="2">
      <t>エイキョウ</t>
    </rPh>
    <rPh sb="2" eb="4">
      <t>ケンショウチュウ</t>
    </rPh>
    <rPh sb="8" eb="10">
      <t>コウシン</t>
    </rPh>
    <rPh sb="10" eb="12">
      <t>ホリュウ</t>
    </rPh>
    <phoneticPr fontId="1"/>
  </si>
  <si>
    <t>（最新バージョンに問題が発生している）</t>
    <rPh sb="1" eb="3">
      <t>サイシン</t>
    </rPh>
    <rPh sb="9" eb="11">
      <t>モンダイ</t>
    </rPh>
    <rPh sb="12" eb="14">
      <t>ハッセイ</t>
    </rPh>
    <phoneticPr fontId="1"/>
  </si>
  <si>
    <t>問題が確認されているため更新保留</t>
    <rPh sb="0" eb="2">
      <t>モンダイ</t>
    </rPh>
    <rPh sb="3" eb="5">
      <t>カクニン</t>
    </rPh>
    <rPh sb="12" eb="14">
      <t>コウシン</t>
    </rPh>
    <rPh sb="14" eb="16">
      <t>ホリュウ</t>
    </rPh>
    <phoneticPr fontId="1"/>
  </si>
  <si>
    <t>（ソフトウェアがサポートを終了した）</t>
    <rPh sb="13" eb="15">
      <t>シュウリョウ</t>
    </rPh>
    <phoneticPr fontId="1"/>
  </si>
  <si>
    <t>ベンダによる脆弱性の評価はいくつか</t>
    <phoneticPr fontId="1"/>
  </si>
  <si>
    <t>https://www.ipa.go.jp/security/technicalwatch/20150331.html</t>
    <phoneticPr fontId="2"/>
  </si>
  <si>
    <t>https://www.ipa.go.jp/security/technicalwatch/20190221.html</t>
    <phoneticPr fontId="2"/>
  </si>
  <si>
    <t>■IPAテクニカルウォッチ「脆弱性対策の効果的な進め方（ツール活用編）」</t>
    <phoneticPr fontId="2"/>
  </si>
  <si>
    <t>確認が必要なソフトウェア</t>
    <rPh sb="0" eb="2">
      <t>カクニン</t>
    </rPh>
    <rPh sb="3" eb="5">
      <t>ヒツヨウ</t>
    </rPh>
    <phoneticPr fontId="2"/>
  </si>
  <si>
    <t>ベンダによる脆弱性の評価例</t>
    <rPh sb="6" eb="9">
      <t>ゼイジャクセイ</t>
    </rPh>
    <rPh sb="10" eb="12">
      <t>ヒョウカ</t>
    </rPh>
    <rPh sb="12" eb="13">
      <t>レイ</t>
    </rPh>
    <phoneticPr fontId="1"/>
  </si>
  <si>
    <t>1.2.　対象利用者・PC</t>
    <phoneticPr fontId="2"/>
  </si>
  <si>
    <t>利用しているソフトウェア一覧</t>
    <phoneticPr fontId="2"/>
  </si>
  <si>
    <t>よく使われているソフトウェアの一覧です。他シートからの参照用として使います。</t>
    <phoneticPr fontId="2"/>
  </si>
  <si>
    <t>よく使われている情報収集先の一覧です。他シートからの参照用として使います。</t>
    <phoneticPr fontId="2"/>
  </si>
  <si>
    <t>脆弱性の緊急度や緊急度に対する対応方針の目安等を設定するシートです。</t>
    <rPh sb="0" eb="3">
      <t>ゼイジャクセイ</t>
    </rPh>
    <rPh sb="4" eb="7">
      <t>キンキュウド</t>
    </rPh>
    <rPh sb="8" eb="11">
      <t>キンキュウド</t>
    </rPh>
    <rPh sb="12" eb="13">
      <t>タイ</t>
    </rPh>
    <rPh sb="15" eb="17">
      <t>タイオウ</t>
    </rPh>
    <rPh sb="17" eb="19">
      <t>ホウシン</t>
    </rPh>
    <rPh sb="20" eb="22">
      <t>メヤス</t>
    </rPh>
    <rPh sb="22" eb="23">
      <t>ナド</t>
    </rPh>
    <phoneticPr fontId="2"/>
  </si>
  <si>
    <t>利用しているバージョン</t>
    <rPh sb="0" eb="2">
      <t>リヨウ</t>
    </rPh>
    <phoneticPr fontId="2"/>
  </si>
  <si>
    <t>JPCERT/CC：CyberNewsFlash</t>
    <phoneticPr fontId="1"/>
  </si>
  <si>
    <t>Java 8 Update</t>
    <phoneticPr fontId="1"/>
  </si>
  <si>
    <t>mjcheck3</t>
    <phoneticPr fontId="1"/>
  </si>
  <si>
    <t>mjdashboard</t>
    <phoneticPr fontId="1"/>
  </si>
  <si>
    <t>MyJVNバージョンチェッカ for .NET</t>
    <phoneticPr fontId="1"/>
  </si>
  <si>
    <t>①MyJVNバージョンチェッカ for .NETを起動します。
②ウインドウに表示される（v【x.x】）を確認します。</t>
    <rPh sb="39" eb="41">
      <t>ヒョウジ</t>
    </rPh>
    <rPh sb="53" eb="55">
      <t>カクニン</t>
    </rPh>
    <phoneticPr fontId="1"/>
  </si>
  <si>
    <t>iLogScanner（オフライン版）</t>
    <phoneticPr fontId="1"/>
  </si>
  <si>
    <t>①iLogScanner（オフライン版）を起動します。
②ウインドウに表示される（v【x.x】）を確認します。</t>
    <rPh sb="35" eb="37">
      <t>ヒョウジ</t>
    </rPh>
    <rPh sb="49" eb="51">
      <t>カクニン</t>
    </rPh>
    <phoneticPr fontId="1"/>
  </si>
  <si>
    <t>脆弱性対策の適用判断</t>
  </si>
  <si>
    <t>脆弱性の影響度確認</t>
  </si>
  <si>
    <t>脆弱性の影響度確認</t>
    <phoneticPr fontId="1"/>
  </si>
  <si>
    <t>脆弱性関連情報の確認</t>
    <rPh sb="0" eb="3">
      <t>ゼイジャクセイ</t>
    </rPh>
    <rPh sb="3" eb="5">
      <t>カンレン</t>
    </rPh>
    <rPh sb="5" eb="7">
      <t>ジョウホウ</t>
    </rPh>
    <rPh sb="8" eb="10">
      <t>カクニン</t>
    </rPh>
    <phoneticPr fontId="1"/>
  </si>
  <si>
    <t>バージョン情報の確認</t>
    <phoneticPr fontId="1"/>
  </si>
  <si>
    <t>バージョン情報の確認</t>
    <rPh sb="5" eb="7">
      <t>ジョウホウ</t>
    </rPh>
    <phoneticPr fontId="2"/>
  </si>
  <si>
    <t>脆弱性関連情報の確認</t>
    <rPh sb="0" eb="3">
      <t>ゼイジャクセイ</t>
    </rPh>
    <rPh sb="3" eb="5">
      <t>カンレン</t>
    </rPh>
    <rPh sb="5" eb="7">
      <t>ジョウホウ</t>
    </rPh>
    <rPh sb="8" eb="10">
      <t>カクニン</t>
    </rPh>
    <phoneticPr fontId="2"/>
  </si>
  <si>
    <t>https://www.jpcert.or.jp/newsflash/</t>
    <phoneticPr fontId="1"/>
  </si>
  <si>
    <t>https://forest.watch.impress.co.jp/</t>
    <phoneticPr fontId="1"/>
  </si>
  <si>
    <t>2.5.　利用方法（定期作業フロー）</t>
    <phoneticPr fontId="2"/>
  </si>
  <si>
    <t>2.6.　定期作業フローの概要</t>
    <rPh sb="5" eb="7">
      <t>テイキ</t>
    </rPh>
    <phoneticPr fontId="2"/>
  </si>
  <si>
    <t>Adobe Acrobat Reader DC</t>
  </si>
  <si>
    <t>Adobe AIR</t>
  </si>
  <si>
    <t>Adobe Flash Player（AcitveX）</t>
  </si>
  <si>
    <t>iLogScanner（オフライン版）</t>
  </si>
  <si>
    <t>mjcheck3</t>
  </si>
  <si>
    <t>MyJVNバージョンチェッカ for .NET</t>
  </si>
  <si>
    <t>Tera Term</t>
  </si>
  <si>
    <t>VMware Workstation</t>
  </si>
  <si>
    <t>WinSCP</t>
  </si>
  <si>
    <t>2020.012.20043</t>
  </si>
  <si>
    <t>32.0.0.125</t>
  </si>
  <si>
    <t>32.0.0.387</t>
  </si>
  <si>
    <t>4.0.1</t>
  </si>
  <si>
    <t>14.0.2</t>
  </si>
  <si>
    <t>3.1.0</t>
  </si>
  <si>
    <t>68.12.0</t>
  </si>
  <si>
    <t>4.105</t>
  </si>
  <si>
    <t>15.5.6</t>
  </si>
  <si>
    <t>5.17.7</t>
  </si>
  <si>
    <t>JPCERT/CC：注意喚起</t>
  </si>
  <si>
    <t>JPCERT/CC：CyberNewsFlash</t>
  </si>
  <si>
    <t>NISC：内閣サイバー(注意・警戒情報)</t>
  </si>
  <si>
    <t>警察庁：トピックス</t>
  </si>
  <si>
    <t>US-CERT：Alerts</t>
  </si>
  <si>
    <t>US-CERT：Current Activity</t>
  </si>
  <si>
    <t>セキュリティ対策推進協議会：注意喚起</t>
  </si>
  <si>
    <t>JVN (Japan Vulnerability Notes)</t>
  </si>
  <si>
    <t>日経クロステック：ITセキュリティー</t>
  </si>
  <si>
    <t>ITmedia エンタープライズ：セキュリティ</t>
  </si>
  <si>
    <t xml:space="preserve">ScanNetSecurity </t>
  </si>
  <si>
    <t>窓の杜</t>
  </si>
  <si>
    <t>Yahoo!ニュース：IT</t>
  </si>
  <si>
    <t>BLEEPINGCOMPUTER</t>
  </si>
  <si>
    <t>The Hacker News</t>
  </si>
  <si>
    <t xml:space="preserve">ComputerWorld：Security </t>
  </si>
  <si>
    <t>ZDnet</t>
  </si>
  <si>
    <t>〇:影響を受ける</t>
  </si>
  <si>
    <t>ネットワーク越しから攻撃可能</t>
  </si>
  <si>
    <t>重大（Critical）</t>
  </si>
  <si>
    <t>7.0以上、9.0未満</t>
  </si>
  <si>
    <t>1.1.0</t>
    <phoneticPr fontId="1"/>
  </si>
  <si>
    <t>85.0.4183.102</t>
  </si>
  <si>
    <t>https://portal.msrc.microsoft.com/en-us/security-guidance/releasenotedetail/2020-Sep</t>
    <phoneticPr fontId="1"/>
  </si>
  <si>
    <t>実証コードあり</t>
  </si>
  <si>
    <t>85.0.564.51</t>
    <phoneticPr fontId="1"/>
  </si>
  <si>
    <t>85.0.564.44</t>
    <phoneticPr fontId="1"/>
  </si>
  <si>
    <t>https://portal.msrc.microsoft.com/en-us/security-guidance/advisory/ADV200002</t>
    <phoneticPr fontId="1"/>
  </si>
  <si>
    <t>https://forest.watch.impress.co.jp/docs/news/1276232.html</t>
    <phoneticPr fontId="1"/>
  </si>
  <si>
    <t>https://docs.microsoft.com/en-us/DeployEdge/microsoft-edge-relnotes-security#september-9-2020</t>
    <phoneticPr fontId="1"/>
  </si>
  <si>
    <t>https://www.ipa.go.jp/security/ciadr/vul/20200909-ms.html</t>
    <phoneticPr fontId="1"/>
  </si>
  <si>
    <t>https://www.jpcert.or.jp/at/2020/at200036.html</t>
    <phoneticPr fontId="1"/>
  </si>
  <si>
    <t>https://portal.msrc.microsoft.com/ja-JP/security-guidance/advisory/CVE-2020-1252</t>
    <phoneticPr fontId="1"/>
  </si>
  <si>
    <t>https://www.zdnet.com/topic/security/</t>
    <phoneticPr fontId="1"/>
  </si>
  <si>
    <t>https://thehackernews.com/</t>
    <phoneticPr fontId="1"/>
  </si>
  <si>
    <t>重要（Important）</t>
  </si>
  <si>
    <t>　定期作業は以下のフローに沿って進めます。手順の詳細は各シート右側（緑色の背景の箇所）に記載しています。作業が完了したら「計画」段階へと進みます。</t>
    <rPh sb="34" eb="35">
      <t>ミドリ</t>
    </rPh>
    <phoneticPr fontId="2"/>
  </si>
  <si>
    <t>https://tomcat.apache.org/security.html</t>
    <phoneticPr fontId="1"/>
  </si>
  <si>
    <t>※■IPAテクニカルウォッチ「脆弱性対策の効果的な進め方（実践編）第2版」</t>
    <phoneticPr fontId="2"/>
  </si>
  <si>
    <t>①キーボードの「Windows」キーを押しながら「R」キーを押します。
②「ファイル名を指定して実行」の「名前」欄に「wuapp」と入力し、「OK」をクリックします。</t>
    <phoneticPr fontId="1"/>
  </si>
  <si>
    <t>①キーボードの「Windows」キーを押しながら「R」キーを押します。
②「ファイル名を指定して実行」の「名前」欄に「ms-settings:windowsupdate」と入力し、「OK」をクリックします。</t>
    <phoneticPr fontId="1"/>
  </si>
  <si>
    <t>URL</t>
    <phoneticPr fontId="1"/>
  </si>
  <si>
    <t>Windows 10 Version 2004</t>
  </si>
  <si>
    <t>Windows 10 Version 2004</t>
    <phoneticPr fontId="1"/>
  </si>
  <si>
    <t>19041.488</t>
    <phoneticPr fontId="1"/>
  </si>
  <si>
    <t>19041.508</t>
    <phoneticPr fontId="1"/>
  </si>
  <si>
    <t>2020.012.20043</t>
    <phoneticPr fontId="1"/>
  </si>
  <si>
    <t>32.0.0.125</t>
    <phoneticPr fontId="1"/>
  </si>
  <si>
    <t>2.2.3. 共通脆弱性評価システムCVSS とは</t>
  </si>
  <si>
    <t>3.5. 「CVSS 計算ソフトウェア」 - 脆弱性の自組織への影響度の確認に -</t>
  </si>
  <si>
    <t>2.1.　主に初回作業時に使うシートの概要</t>
    <rPh sb="5" eb="6">
      <t>オモ</t>
    </rPh>
    <phoneticPr fontId="2"/>
  </si>
  <si>
    <t>2.2.　主に定期作業時に使うシートの概要</t>
    <rPh sb="7" eb="9">
      <t>テイキ</t>
    </rPh>
    <phoneticPr fontId="2"/>
  </si>
  <si>
    <t>2.3.　利用方法（初回作業フロー）</t>
    <phoneticPr fontId="2"/>
  </si>
  <si>
    <t>2.4.　初回作業フローの概要</t>
    <phoneticPr fontId="2"/>
  </si>
  <si>
    <r>
      <rPr>
        <b/>
        <sz val="11"/>
        <color theme="1"/>
        <rFont val="IPA Pゴシック"/>
        <family val="3"/>
        <charset val="128"/>
      </rPr>
      <t>収集した脆弱性関連情報を確認し、「脆弱性の影響度確認」シートに反映します。</t>
    </r>
    <r>
      <rPr>
        <sz val="11"/>
        <color theme="1"/>
        <rFont val="IPA Pゴシック"/>
        <family val="3"/>
        <charset val="128"/>
      </rPr>
      <t xml:space="preserve">
収集した脆弱性関連情報に記載されているCVSS評価や優先対応の判断要素となる評価項目等を確認し、表に記入します。CVSSが記載されている場合は、CVSS計算ツールを利用して、</t>
    </r>
    <r>
      <rPr>
        <u/>
        <sz val="11"/>
        <color theme="1"/>
        <rFont val="IPA Pゴシック"/>
        <family val="3"/>
        <charset val="128"/>
      </rPr>
      <t>「現状値」、可能であれば「環境値」まで算出します。</t>
    </r>
    <r>
      <rPr>
        <sz val="11"/>
        <color theme="1"/>
        <rFont val="IPA Pゴシック"/>
        <family val="3"/>
        <charset val="128"/>
      </rPr>
      <t>CVSSの概要やCVSS評価ツールの詳細は下にある※の資料を参照します。</t>
    </r>
    <rPh sb="0" eb="2">
      <t>シュウシュウ</t>
    </rPh>
    <rPh sb="12" eb="14">
      <t>カクニン</t>
    </rPh>
    <rPh sb="31" eb="33">
      <t>ハンエイ</t>
    </rPh>
    <rPh sb="38" eb="40">
      <t>シュウシュウ</t>
    </rPh>
    <rPh sb="42" eb="45">
      <t>ゼイジャクセイ</t>
    </rPh>
    <rPh sb="45" eb="47">
      <t>カンレン</t>
    </rPh>
    <rPh sb="50" eb="52">
      <t>キサイ</t>
    </rPh>
    <rPh sb="77" eb="78">
      <t>トウ</t>
    </rPh>
    <rPh sb="79" eb="81">
      <t>カクニン</t>
    </rPh>
    <rPh sb="83" eb="84">
      <t>ヒョウ</t>
    </rPh>
    <rPh sb="85" eb="87">
      <t>ハンエイ</t>
    </rPh>
    <rPh sb="88" eb="90">
      <t>キニュウ</t>
    </rPh>
    <rPh sb="96" eb="98">
      <t>キサイ</t>
    </rPh>
    <rPh sb="103" eb="105">
      <t>バアイ</t>
    </rPh>
    <rPh sb="117" eb="119">
      <t>リヨウ</t>
    </rPh>
    <rPh sb="123" eb="125">
      <t>ゲンジョウ</t>
    </rPh>
    <rPh sb="125" eb="126">
      <t>チ</t>
    </rPh>
    <rPh sb="131" eb="133">
      <t>カノウ</t>
    </rPh>
    <rPh sb="137" eb="138">
      <t>チ</t>
    </rPh>
    <rPh sb="141" eb="143">
      <t>サンシュツ</t>
    </rPh>
    <rPh sb="155" eb="157">
      <t>ガイヨウ</t>
    </rPh>
    <rPh sb="159" eb="161">
      <t>ケイサイ</t>
    </rPh>
    <rPh sb="162" eb="164">
      <t>ヒョウカ</t>
    </rPh>
    <rPh sb="165" eb="167">
      <t>ショウサイ</t>
    </rPh>
    <rPh sb="177" eb="179">
      <t>サンショウ</t>
    </rPh>
    <phoneticPr fontId="2"/>
  </si>
  <si>
    <t>利用しているソフトウェアのバージョンや最新バージョン等を管理するシートです。</t>
    <rPh sb="26" eb="27">
      <t>ナド</t>
    </rPh>
    <rPh sb="28" eb="30">
      <t>カンリ</t>
    </rPh>
    <phoneticPr fontId="2"/>
  </si>
  <si>
    <t>脆弱性関連情報の収集先や収集した情報等を管理するシートです。</t>
    <rPh sb="12" eb="14">
      <t>シュウシュウ</t>
    </rPh>
    <rPh sb="16" eb="18">
      <t>ジョウホウ</t>
    </rPh>
    <rPh sb="18" eb="19">
      <t>ナド</t>
    </rPh>
    <phoneticPr fontId="2"/>
  </si>
  <si>
    <t>　初回作業時は以下のフローに沿って進めます。手順の詳細は各シート右側（青色の背景の箇所）に記載しています。作業が完了したら「5.利用方法（定期作業フロー）」に進みます。</t>
    <rPh sb="22" eb="24">
      <t>テジュン</t>
    </rPh>
    <rPh sb="25" eb="27">
      <t>ショウサイ</t>
    </rPh>
    <rPh sb="35" eb="37">
      <t>アオイロ</t>
    </rPh>
    <rPh sb="38" eb="40">
      <t>ハイケイ</t>
    </rPh>
    <rPh sb="41" eb="43">
      <t>カショ</t>
    </rPh>
    <rPh sb="45" eb="47">
      <t>キサイ</t>
    </rPh>
    <phoneticPr fontId="2"/>
  </si>
  <si>
    <t>最新バージョンが公表された、または、脆弱性が確認されたソフトウェアの関連情報を表すシートです。
当シートの結果を基に、脆弱性対策の進め方のフローの「計画」段階へ進みます。</t>
    <rPh sb="22" eb="24">
      <t>カクニン</t>
    </rPh>
    <rPh sb="34" eb="36">
      <t>カンレン</t>
    </rPh>
    <rPh sb="36" eb="38">
      <t>ジョウホウ</t>
    </rPh>
    <rPh sb="39" eb="40">
      <t>アラワ</t>
    </rPh>
    <phoneticPr fontId="2"/>
  </si>
  <si>
    <t>利用しているソフトウェアやバージョンの確認方法等を管理するシートです。
「よく使われるソフトウェア一覧」シートを参考に記入します。</t>
    <rPh sb="19" eb="21">
      <t>カクニン</t>
    </rPh>
    <rPh sb="21" eb="23">
      <t>ホウホウ</t>
    </rPh>
    <rPh sb="23" eb="24">
      <t>ナド</t>
    </rPh>
    <phoneticPr fontId="2"/>
  </si>
  <si>
    <r>
      <rPr>
        <b/>
        <sz val="11"/>
        <color rgb="FF000000"/>
        <rFont val="IPA Pゴシック"/>
        <family val="3"/>
        <charset val="128"/>
      </rPr>
      <t>選定した各サイトから脆弱性関連情報を収集し、収集した情報を「脆弱性関連情報の確認」シートに反映します。</t>
    </r>
    <r>
      <rPr>
        <sz val="11"/>
        <color rgb="FF000000"/>
        <rFont val="IPA Pゴシック"/>
        <family val="3"/>
        <charset val="128"/>
      </rPr>
      <t xml:space="preserve">
利用しているソフトウェアと収集した脆弱性関連情報が紐づくように記入します。なお、1つのソフトウェアに対し脆弱性関連情報が6件以上公表されている場合は、影響を受けるバージョンやCVSS評価等を確認し、より自組織に及ぼす影響が大きく、対策方法などが詳細に記載されている情報を優先して記入します。</t>
    </r>
    <rPh sb="0" eb="2">
      <t>センテイ</t>
    </rPh>
    <rPh sb="10" eb="13">
      <t>ゼイジャクセイ</t>
    </rPh>
    <rPh sb="13" eb="15">
      <t>カンレン</t>
    </rPh>
    <rPh sb="15" eb="17">
      <t>ジョウホウ</t>
    </rPh>
    <rPh sb="18" eb="20">
      <t>シュウシュウ</t>
    </rPh>
    <rPh sb="22" eb="24">
      <t>シュウシュウ</t>
    </rPh>
    <rPh sb="26" eb="28">
      <t>ジョウホウ</t>
    </rPh>
    <rPh sb="45" eb="47">
      <t>ハンエイ</t>
    </rPh>
    <rPh sb="52" eb="54">
      <t>リヨウ</t>
    </rPh>
    <rPh sb="65" eb="67">
      <t>シュウシュウ</t>
    </rPh>
    <rPh sb="69" eb="72">
      <t>ゼイジャクセイ</t>
    </rPh>
    <rPh sb="72" eb="74">
      <t>カンレン</t>
    </rPh>
    <rPh sb="74" eb="76">
      <t>ジョウホウ</t>
    </rPh>
    <rPh sb="77" eb="78">
      <t>ヒモ</t>
    </rPh>
    <rPh sb="83" eb="85">
      <t>キニュウ</t>
    </rPh>
    <rPh sb="102" eb="103">
      <t>タイ</t>
    </rPh>
    <rPh sb="107" eb="109">
      <t>カンレン</t>
    </rPh>
    <rPh sb="113" eb="116">
      <t>ケンイジョウ</t>
    </rPh>
    <rPh sb="116" eb="118">
      <t>コウヒョウ</t>
    </rPh>
    <rPh sb="127" eb="129">
      <t>エイキョウ</t>
    </rPh>
    <rPh sb="143" eb="145">
      <t>ヒョウカ</t>
    </rPh>
    <rPh sb="145" eb="146">
      <t>ナド</t>
    </rPh>
    <rPh sb="147" eb="149">
      <t>カクニン</t>
    </rPh>
    <rPh sb="153" eb="154">
      <t>ジ</t>
    </rPh>
    <rPh sb="154" eb="156">
      <t>ソシキ</t>
    </rPh>
    <rPh sb="157" eb="158">
      <t>オヨ</t>
    </rPh>
    <rPh sb="160" eb="162">
      <t>エイキョウ</t>
    </rPh>
    <rPh sb="163" eb="164">
      <t>オオ</t>
    </rPh>
    <rPh sb="167" eb="169">
      <t>タイサク</t>
    </rPh>
    <rPh sb="169" eb="171">
      <t>ホウホウ</t>
    </rPh>
    <rPh sb="174" eb="176">
      <t>ショウサイ</t>
    </rPh>
    <rPh sb="177" eb="179">
      <t>キサイ</t>
    </rPh>
    <rPh sb="184" eb="186">
      <t>ジョウホウ</t>
    </rPh>
    <rPh sb="187" eb="189">
      <t>ユウセン</t>
    </rPh>
    <rPh sb="191" eb="193">
      <t>キニュウ</t>
    </rPh>
    <phoneticPr fontId="2"/>
  </si>
  <si>
    <r>
      <rPr>
        <b/>
        <sz val="11"/>
        <color rgb="FF000000"/>
        <rFont val="IPA Pゴシック"/>
        <family val="3"/>
        <charset val="128"/>
      </rPr>
      <t>利用しているソフトウェアを「利用しているソフトウェア一覧」シートに記入します。</t>
    </r>
    <r>
      <rPr>
        <sz val="11"/>
        <color rgb="FF000000"/>
        <rFont val="IPA Pゴシック"/>
        <family val="3"/>
        <charset val="128"/>
      </rPr>
      <t xml:space="preserve">
利用しているソフトウェアを可能な限り把握、記入します。利用しているソフトウェアのバージョンが複数ある場合は、異なるソフトウェアとして管理する必要があるため、記入時に「ソフトウェア名」と「バージョン」を併記するようにします。（例：Windows 10 Version 1809、Windows 10 Version 2004）</t>
    </r>
    <rPh sb="0" eb="2">
      <t>リヨウ</t>
    </rPh>
    <rPh sb="33" eb="35">
      <t>キニュウ</t>
    </rPh>
    <rPh sb="40" eb="42">
      <t>リヨウ</t>
    </rPh>
    <rPh sb="58" eb="60">
      <t>ハアク</t>
    </rPh>
    <rPh sb="67" eb="69">
      <t>リヨウ</t>
    </rPh>
    <rPh sb="109" eb="111">
      <t>ヒツヨウ</t>
    </rPh>
    <rPh sb="139" eb="141">
      <t>ヘイキ</t>
    </rPh>
    <phoneticPr fontId="2"/>
  </si>
  <si>
    <r>
      <rPr>
        <b/>
        <sz val="11"/>
        <color rgb="FF000000"/>
        <rFont val="IPA Pゴシック"/>
        <family val="3"/>
        <charset val="128"/>
      </rPr>
      <t>製品ベンダが公表するセキュリティアドバイザリ等を「利用しているソフトウェア一覧」シートに記入します。</t>
    </r>
    <r>
      <rPr>
        <sz val="11"/>
        <color rgb="FF000000"/>
        <rFont val="IPA Pゴシック"/>
        <family val="3"/>
        <charset val="128"/>
      </rPr>
      <t xml:space="preserve">
製品ベンダが公表するセキュリティアドバイザリ、または、ソフトウェアの脆弱性を取り扱う第三者の情報提供サイト等を調査、記入します。</t>
    </r>
    <rPh sb="49" eb="51">
      <t>セイヒン</t>
    </rPh>
    <rPh sb="55" eb="57">
      <t>コウヒョウ</t>
    </rPh>
    <rPh sb="83" eb="86">
      <t>ゼイジャクセイ</t>
    </rPh>
    <rPh sb="87" eb="88">
      <t>ト</t>
    </rPh>
    <rPh sb="89" eb="90">
      <t>アツカ</t>
    </rPh>
    <rPh sb="91" eb="92">
      <t>ダイ</t>
    </rPh>
    <rPh sb="92" eb="94">
      <t>３シャ</t>
    </rPh>
    <rPh sb="95" eb="97">
      <t>ジョウホウ</t>
    </rPh>
    <rPh sb="99" eb="101">
      <t>テイキョウ</t>
    </rPh>
    <rPh sb="102" eb="103">
      <t>ナド</t>
    </rPh>
    <phoneticPr fontId="2"/>
  </si>
  <si>
    <r>
      <rPr>
        <b/>
        <sz val="11"/>
        <color theme="1"/>
        <rFont val="IPA Pゴシック"/>
        <family val="3"/>
        <charset val="128"/>
      </rPr>
      <t>脆弱性関連情報の収集先を「脆弱性関連情報の確認」シートに記入します。</t>
    </r>
    <r>
      <rPr>
        <sz val="11"/>
        <color theme="1"/>
        <rFont val="IPA Pゴシック"/>
        <family val="3"/>
        <charset val="128"/>
      </rPr>
      <t xml:space="preserve">
「よく使われる収集先一覧」シートのD列（おすすめ度）を参考に、収集に活用する注意喚起サイトや、脆弱性関連情報データベース、ニュースサイトをそれぞれ選定、記入します。</t>
    </r>
    <rPh sb="8" eb="10">
      <t>シュウシュウ</t>
    </rPh>
    <rPh sb="10" eb="11">
      <t>サキ</t>
    </rPh>
    <rPh sb="28" eb="30">
      <t>キニュウ</t>
    </rPh>
    <rPh sb="66" eb="68">
      <t>シュウシュウ</t>
    </rPh>
    <rPh sb="69" eb="71">
      <t>カツヨウ</t>
    </rPh>
    <rPh sb="73" eb="75">
      <t>チュウイ</t>
    </rPh>
    <rPh sb="75" eb="77">
      <t>カンキ</t>
    </rPh>
    <rPh sb="108" eb="110">
      <t>センテイ</t>
    </rPh>
    <rPh sb="111" eb="113">
      <t>キニュウ</t>
    </rPh>
    <phoneticPr fontId="2"/>
  </si>
  <si>
    <r>
      <rPr>
        <b/>
        <sz val="11"/>
        <color rgb="FF000000"/>
        <rFont val="IPA Pゴシック"/>
        <family val="3"/>
        <charset val="128"/>
      </rPr>
      <t>ソフトウェアの利用状況を「利用しているソフトウェア一覧」シートに反映します。</t>
    </r>
    <r>
      <rPr>
        <sz val="11"/>
        <color rgb="FF000000"/>
        <rFont val="IPA Pゴシック"/>
        <family val="3"/>
        <charset val="128"/>
      </rPr>
      <t xml:space="preserve">
新しく利用し始めたソフトウェア、または利用しなくなったソフトウェアがないか確認し、必要に応じて、行の追加・削除をします。なお、追加・削除した際は他のシートに影響が出るため適時修正します。</t>
    </r>
    <rPh sb="7" eb="9">
      <t>リヨウ</t>
    </rPh>
    <rPh sb="9" eb="11">
      <t>ジョウキョウ</t>
    </rPh>
    <rPh sb="32" eb="34">
      <t>ハンエイ</t>
    </rPh>
    <rPh sb="102" eb="104">
      <t>ツイカ</t>
    </rPh>
    <rPh sb="105" eb="107">
      <t>サクジョ</t>
    </rPh>
    <rPh sb="109" eb="110">
      <t>サイ</t>
    </rPh>
    <rPh sb="111" eb="112">
      <t>タ</t>
    </rPh>
    <rPh sb="117" eb="119">
      <t>エイキョウ</t>
    </rPh>
    <rPh sb="120" eb="121">
      <t>デ</t>
    </rPh>
    <rPh sb="124" eb="126">
      <t>テキジ</t>
    </rPh>
    <rPh sb="126" eb="128">
      <t>シュウセイ</t>
    </rPh>
    <phoneticPr fontId="2"/>
  </si>
  <si>
    <r>
      <t xml:space="preserve">「脆弱性対策の適用判断」シートに表示された情報を基に、脆弱性対策の進め方のフローの「計画」段階へ進みます。
</t>
    </r>
    <r>
      <rPr>
        <sz val="11"/>
        <color theme="1"/>
        <rFont val="IPA Pゴシック"/>
        <family val="3"/>
        <charset val="128"/>
      </rPr>
      <t>「脆弱性の影響度確認」シートまでに記入した結果が自動入力されていることを確認し、「計画」段階の準備をします。</t>
    </r>
    <rPh sb="16" eb="18">
      <t>ヒョウジ</t>
    </rPh>
    <rPh sb="21" eb="23">
      <t>ジョウホウ</t>
    </rPh>
    <rPh sb="24" eb="25">
      <t>モト</t>
    </rPh>
    <rPh sb="42" eb="44">
      <t>ケイカク</t>
    </rPh>
    <rPh sb="45" eb="47">
      <t>ダンカイ</t>
    </rPh>
    <rPh sb="48" eb="49">
      <t>スス</t>
    </rPh>
    <rPh sb="95" eb="97">
      <t>ケイカク</t>
    </rPh>
    <rPh sb="98" eb="100">
      <t>ダンカイ</t>
    </rPh>
    <rPh sb="101" eb="103">
      <t>ジュンビ</t>
    </rPh>
    <phoneticPr fontId="2"/>
  </si>
  <si>
    <t>脆弱性の適用判断で留意する項目</t>
    <rPh sb="0" eb="3">
      <t>ゼイジャクセイ</t>
    </rPh>
    <rPh sb="4" eb="6">
      <t>テキヨウ</t>
    </rPh>
    <rPh sb="6" eb="8">
      <t>ハンダン</t>
    </rPh>
    <rPh sb="9" eb="11">
      <t>リュウイ</t>
    </rPh>
    <rPh sb="13" eb="15">
      <t>コウモク</t>
    </rPh>
    <phoneticPr fontId="1"/>
  </si>
  <si>
    <t>（緩和策が公開されている）</t>
    <rPh sb="0" eb="3">
      <t>カンワサク</t>
    </rPh>
    <rPh sb="4" eb="6">
      <t>コウカイ</t>
    </rPh>
    <phoneticPr fontId="1"/>
  </si>
  <si>
    <t>緩和策あり</t>
    <rPh sb="0" eb="2">
      <t>カンワサク</t>
    </rPh>
    <phoneticPr fontId="1"/>
  </si>
  <si>
    <r>
      <rPr>
        <b/>
        <sz val="11"/>
        <color theme="1"/>
        <rFont val="IPA Pゴシック"/>
        <family val="3"/>
        <charset val="128"/>
      </rPr>
      <t>現在利用しているバージョンの確認方法等を「利用しているソフトウェア一覧」シートに記入します。</t>
    </r>
    <r>
      <rPr>
        <sz val="11"/>
        <color theme="1"/>
        <rFont val="IPA Pゴシック"/>
        <family val="3"/>
        <charset val="128"/>
      </rPr>
      <t xml:space="preserve">
現在利用しているバージョンの確認方法や、最新バージョンが確認可能なサイト、最新バージョン提供サイト等を調査、記入します。</t>
    </r>
    <rPh sb="18" eb="19">
      <t>ナド</t>
    </rPh>
    <rPh sb="103" eb="104">
      <t>ナド</t>
    </rPh>
    <rPh sb="105" eb="107">
      <t>チョウサキニュウ</t>
    </rPh>
    <phoneticPr fontId="2"/>
  </si>
  <si>
    <t>0（+未評価）</t>
  </si>
  <si>
    <t>Java 8 Update</t>
  </si>
  <si>
    <r>
      <rPr>
        <b/>
        <sz val="11"/>
        <color theme="1"/>
        <rFont val="IPA Pゴシック"/>
        <family val="3"/>
        <charset val="128"/>
      </rPr>
      <t>自組織の運用に適した対応方針の目安を「緊急度・対応方針設定」シートに記入します。</t>
    </r>
    <r>
      <rPr>
        <sz val="11"/>
        <color theme="1"/>
        <rFont val="IPA Pゴシック"/>
        <family val="3"/>
        <charset val="128"/>
      </rPr>
      <t xml:space="preserve">
CVSS評価や優先対応の判断要素となる評価項目等の緊急度を基に、いつまでに対応する必要があるのかを示す対応方針目安を設定、記入します。</t>
    </r>
    <rPh sb="15" eb="17">
      <t>メヤス</t>
    </rPh>
    <rPh sb="19" eb="22">
      <t>キンキュウド</t>
    </rPh>
    <rPh sb="23" eb="25">
      <t>タイオウ</t>
    </rPh>
    <rPh sb="25" eb="27">
      <t>ホウシン</t>
    </rPh>
    <rPh sb="27" eb="29">
      <t>セッテイ</t>
    </rPh>
    <rPh sb="34" eb="36">
      <t>キニュウ</t>
    </rPh>
    <rPh sb="64" eb="65">
      <t>ナド</t>
    </rPh>
    <rPh sb="66" eb="69">
      <t>キンキュウド</t>
    </rPh>
    <rPh sb="70" eb="71">
      <t>モト</t>
    </rPh>
    <rPh sb="78" eb="80">
      <t>タイオウ</t>
    </rPh>
    <rPh sb="82" eb="84">
      <t>ヒツヨウ</t>
    </rPh>
    <rPh sb="90" eb="91">
      <t>シメ</t>
    </rPh>
    <rPh sb="92" eb="94">
      <t>タイオウ</t>
    </rPh>
    <rPh sb="94" eb="96">
      <t>ホウシン</t>
    </rPh>
    <rPh sb="96" eb="98">
      <t>メヤス</t>
    </rPh>
    <rPh sb="99" eb="101">
      <t>セッテイ</t>
    </rPh>
    <rPh sb="102" eb="104">
      <t>キニュウ</t>
    </rPh>
    <phoneticPr fontId="2"/>
  </si>
  <si>
    <r>
      <rPr>
        <b/>
        <sz val="11"/>
        <color theme="1"/>
        <rFont val="IPA Pゴシック"/>
        <family val="3"/>
        <charset val="128"/>
      </rPr>
      <t>現在利用しているソフトウェアのバージョンや公表されている最新バージョンを「バージョン情報の確認」シートに反映します。</t>
    </r>
    <r>
      <rPr>
        <sz val="11"/>
        <color theme="1"/>
        <rFont val="IPA Pゴシック"/>
        <family val="3"/>
        <charset val="128"/>
      </rPr>
      <t xml:space="preserve">
現在利用しているバージョンの確認方法や最新バージョンが確認可能なサイトを参照し、更新されていた場合はそのソフトウェアのバージョン情報を記入します。また、最新バージョン提供サイトを参照し、ソフトウェアの最新バージョンが取得可能かを確認しておきます。</t>
    </r>
    <rPh sb="0" eb="2">
      <t>ゲンザイ</t>
    </rPh>
    <rPh sb="2" eb="4">
      <t>リヨウ</t>
    </rPh>
    <rPh sb="21" eb="23">
      <t>コウヒョウ</t>
    </rPh>
    <rPh sb="28" eb="30">
      <t>サイシン</t>
    </rPh>
    <rPh sb="52" eb="54">
      <t>ハンエイ</t>
    </rPh>
    <rPh sb="95" eb="97">
      <t>サンショウ</t>
    </rPh>
    <rPh sb="99" eb="101">
      <t>コウシン</t>
    </rPh>
    <rPh sb="106" eb="108">
      <t>バアイ</t>
    </rPh>
    <rPh sb="123" eb="125">
      <t>ジョウホウ</t>
    </rPh>
    <rPh sb="126" eb="128">
      <t>キニュウ</t>
    </rPh>
    <rPh sb="148" eb="150">
      <t>サンショウ</t>
    </rPh>
    <rPh sb="159" eb="161">
      <t>サイシン</t>
    </rPh>
    <rPh sb="167" eb="169">
      <t>シュトク</t>
    </rPh>
    <rPh sb="169" eb="171">
      <t>カノウ</t>
    </rPh>
    <rPh sb="173" eb="175">
      <t>カクニン</t>
    </rPh>
    <phoneticPr fontId="2"/>
  </si>
  <si>
    <t>1.1.　ソフトウェア脆弱性関連情報管理シートとは</t>
    <phoneticPr fontId="2"/>
  </si>
  <si>
    <t>　本シートは、組織で利用しているソフトウェアの脆弱性対策を行う上で必要不可欠な脆弱性関連情報の収集を補助するものです。また、ソフトウェアのバージョンや脆弱性関連情報の収集先、脆弱性の緊急度に対する対応方針等を本シートで一元管理することで、複数担当者間での情報共有を行いやすくします。
　本シートが脆弱性関連情報をどのように管理して良いかわからない組織の担当者の参考となり、脆弱性対策に係る作業が定常化されることで、組織のセキュリティ対策向上につながることを期待します。</t>
    <rPh sb="91" eb="94">
      <t>キンキュウド</t>
    </rPh>
    <rPh sb="98" eb="100">
      <t>タイオウ</t>
    </rPh>
    <rPh sb="100" eb="102">
      <t>ホウシン</t>
    </rPh>
    <rPh sb="151" eb="153">
      <t>カンレン</t>
    </rPh>
    <phoneticPr fontId="2"/>
  </si>
  <si>
    <t>　システム管理者や脆弱性関連情報の収集担当者を対象としています。特に組織で利用しているソフトウェアのバージョン管理や脆弱性関連情報の管理方法が定まっていない場合におすすめです。また、本シートで管理するソフトウェアは「Windows環境で動作するソフトウェア」を想定しています。</t>
    <rPh sb="12" eb="14">
      <t>カンレン</t>
    </rPh>
    <rPh sb="55" eb="57">
      <t>カンリ</t>
    </rPh>
    <phoneticPr fontId="2"/>
  </si>
  <si>
    <t>・効果的な脆弱性対策を実施するには、公表されるすべての脆弱性情報を闇雲に収集するのではなく、自組織に関連していると思われる脆弱性情報のみを収集することが重要となります。そのためには、事前に自組織で利用しているソフトウェアを洗い出し、把握しておく必要があります。組織内の各部署に協力を依頼する等して、利用しているソフトウェアを本シートで管理できるようにします。
・昨今、脆弱性が公表されてから攻撃が開始されるまでの期間が短くなっており、脆弱性関連情報を収集する周期が長いと、情報を確認した際には既に攻撃が始まっていて対応が遅れてしまうおそれがあるため、脆弱性関連情報の収集を行う周期は極力短く設定（毎日、2 日に1回等）します。
・システム管理者や脆弱性関連情報の収集担当者が、組織内で利用しているすべてのソフトウェアを網羅的に把握し、日々公表される脆弱性の内容 1 つ 1 つを目視で確認することは、ソフトウェアの件数が増える程難しくなり、作業工数のコストが膨大となるおそれがあります。そのため、自動化が可能な作業については極力自動化することを目指し、すぐの自動化が難しい場合は、本シートを基に手動で作業を行い、順次環境を整備しつつ自動化を進めます。</t>
    <rPh sb="27" eb="30">
      <t>ゼイジャクセイ</t>
    </rPh>
    <rPh sb="30" eb="32">
      <t>ジョウホウ</t>
    </rPh>
    <rPh sb="91" eb="93">
      <t>ジゼン</t>
    </rPh>
    <rPh sb="94" eb="96">
      <t>ソシキ</t>
    </rPh>
    <rPh sb="112" eb="113">
      <t>ダ</t>
    </rPh>
    <rPh sb="115" eb="117">
      <t>ハアク</t>
    </rPh>
    <rPh sb="121" eb="123">
      <t>ヒツヨウ</t>
    </rPh>
    <rPh sb="132" eb="133">
      <t>ナイ</t>
    </rPh>
    <rPh sb="134" eb="137">
      <t>カクブショ</t>
    </rPh>
    <rPh sb="276" eb="279">
      <t>ゼイジャクセイ</t>
    </rPh>
    <rPh sb="279" eb="281">
      <t>カンレン</t>
    </rPh>
    <rPh sb="281" eb="283">
      <t>ジョウホウ</t>
    </rPh>
    <rPh sb="328" eb="330">
      <t>カンレン</t>
    </rPh>
    <rPh sb="339" eb="341">
      <t>ソシキ</t>
    </rPh>
    <rPh sb="341" eb="342">
      <t>ナイ</t>
    </rPh>
    <rPh sb="343" eb="345">
      <t>リヨウ</t>
    </rPh>
    <rPh sb="408" eb="409">
      <t>ケン</t>
    </rPh>
    <rPh sb="414" eb="415">
      <t>ホド</t>
    </rPh>
    <rPh sb="449" eb="452">
      <t>ジドウカ</t>
    </rPh>
    <rPh sb="473" eb="475">
      <t>メザ</t>
    </rPh>
    <rPh sb="491" eb="492">
      <t>ホン</t>
    </rPh>
    <rPh sb="496" eb="497">
      <t>モト</t>
    </rPh>
    <rPh sb="517" eb="520">
      <t>ジドウカ</t>
    </rPh>
    <rPh sb="521" eb="522">
      <t>スス</t>
    </rPh>
    <phoneticPr fontId="2"/>
  </si>
  <si>
    <t>　各シートの概要や作業フローを以下に示します。作業の詳細は各シート右側に記載しています。また、本シートは世代管理を行い、過去のシートを残すことをおすすめします。作業を行う前に前回のシートをコピーして新しいシートを作り、そのシートに対して更新を行います。</t>
    <rPh sb="1" eb="2">
      <t>カク</t>
    </rPh>
    <rPh sb="6" eb="8">
      <t>ガイヨウ</t>
    </rPh>
    <rPh sb="9" eb="11">
      <t>サギョウ</t>
    </rPh>
    <phoneticPr fontId="2"/>
  </si>
  <si>
    <t>ソフトウェア脆弱性関連情報管理シートについて</t>
  </si>
  <si>
    <t>本シートのマニュアルです。</t>
    <phoneticPr fontId="2"/>
  </si>
  <si>
    <t>Ver 1.0</t>
    <phoneticPr fontId="2"/>
  </si>
  <si>
    <t>ソフトウェア脆弱性関連情報管理シートについて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</si>
</sst>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9">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游ゴシック"/>
      <family val="2"/>
      <scheme val="minor"/>
    </font>
    <font>
      <sz val="11"/>
      <name val="ＭＳ Ｐゴシック"/>
      <family val="3"/>
      <charset val="128"/>
    </font>
    <font>
      <u/>
      <sz val="11"/>
      <color theme="10"/>
      <name val="ＭＳ Ｐゴシック"/>
      <family val="3"/>
      <charset val="128"/>
    </font>
    <font>
      <sz val="9"/>
      <color theme="1"/>
      <name val="游ゴシック"/>
      <family val="2"/>
      <charset val="128"/>
      <scheme val="minor"/>
    </font>
    <font>
      <b/>
      <sz val="16"/>
      <name val="IPA Pゴシック"/>
      <family val="3"/>
      <charset val="128"/>
    </font>
    <font>
      <sz val="11"/>
      <name val="IPA Pゴシック"/>
      <family val="3"/>
      <charset val="128"/>
    </font>
    <font>
      <sz val="11"/>
      <color theme="1"/>
      <name val="IPA Pゴシック"/>
      <family val="3"/>
      <charset val="128"/>
    </font>
    <font>
      <b/>
      <sz val="12"/>
      <name val="IPA Pゴシック"/>
      <family val="3"/>
      <charset val="128"/>
    </font>
    <font>
      <b/>
      <sz val="11"/>
      <name val="IPA Pゴシック"/>
      <family val="3"/>
      <charset val="128"/>
    </font>
    <font>
      <sz val="10"/>
      <color theme="1"/>
      <name val="IPA Pゴシック"/>
      <family val="3"/>
      <charset val="128"/>
    </font>
    <font>
      <sz val="10"/>
      <name val="IPA Pゴシック"/>
      <family val="3"/>
      <charset val="128"/>
    </font>
    <font>
      <sz val="18"/>
      <color theme="1"/>
      <name val="IPA Pゴシック"/>
      <family val="3"/>
      <charset val="128"/>
    </font>
    <font>
      <sz val="12"/>
      <color theme="1"/>
      <name val="IPA Pゴシック"/>
      <family val="3"/>
      <charset val="128"/>
    </font>
    <font>
      <sz val="11"/>
      <color rgb="FF000000"/>
      <name val="IPA Pゴシック"/>
      <family val="3"/>
      <charset val="128"/>
    </font>
    <font>
      <b/>
      <sz val="11"/>
      <color theme="1"/>
      <name val="IPA Pゴシック"/>
      <family val="3"/>
      <charset val="128"/>
    </font>
    <font>
      <sz val="11"/>
      <color rgb="FFC00000"/>
      <name val="IPA Pゴシック"/>
      <family val="3"/>
      <charset val="128"/>
    </font>
    <font>
      <b/>
      <sz val="11"/>
      <color rgb="FF000000"/>
      <name val="IPA Pゴシック"/>
      <family val="3"/>
      <charset val="128"/>
    </font>
    <font>
      <u/>
      <sz val="11"/>
      <color theme="1"/>
      <name val="IPA Pゴシック"/>
      <family val="3"/>
      <charset val="128"/>
    </font>
    <font>
      <b/>
      <sz val="12"/>
      <color theme="1"/>
      <name val="IPA Pゴシック"/>
      <family val="3"/>
      <charset val="128"/>
    </font>
    <font>
      <sz val="12"/>
      <name val="IPA Pゴシック"/>
      <family val="3"/>
      <charset val="128"/>
    </font>
    <font>
      <u/>
      <sz val="12"/>
      <color theme="10"/>
      <name val="IPA Pゴシック"/>
      <family val="3"/>
      <charset val="128"/>
    </font>
    <font>
      <sz val="12"/>
      <color rgb="FF000000"/>
      <name val="IPA Pゴシック"/>
      <family val="3"/>
      <charset val="128"/>
    </font>
    <font>
      <b/>
      <sz val="10"/>
      <name val="IPA Pゴシック"/>
      <family val="3"/>
      <charset val="128"/>
    </font>
    <font>
      <u/>
      <sz val="10"/>
      <color theme="10"/>
      <name val="IPA Pゴシック"/>
      <family val="3"/>
      <charset val="128"/>
    </font>
    <font>
      <b/>
      <sz val="10"/>
      <color theme="1"/>
      <name val="IPA Pゴシック"/>
      <family val="3"/>
      <charset val="128"/>
    </font>
    <font>
      <b/>
      <sz val="20"/>
      <name val="IPA Pゴシック"/>
      <family val="3"/>
      <charset val="128"/>
    </font>
  </fonts>
  <fills count="14">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rgb="FFBDD6EE"/>
        <bgColor indexed="64"/>
      </patternFill>
    </fill>
    <fill>
      <patternFill patternType="solid">
        <fgColor rgb="FFD9E2F3"/>
        <bgColor indexed="64"/>
      </patternFill>
    </fill>
    <fill>
      <patternFill patternType="solid">
        <fgColor rgb="FFC5E0B3"/>
        <bgColor indexed="64"/>
      </patternFill>
    </fill>
    <fill>
      <patternFill patternType="solid">
        <fgColor rgb="FFE2EFD9"/>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s>
  <cellStyleXfs count="6">
    <xf numFmtId="0" fontId="0" fillId="0" borderId="0">
      <alignment vertical="center"/>
    </xf>
    <xf numFmtId="0" fontId="3" fillId="0" borderId="0"/>
    <xf numFmtId="0" fontId="26" fillId="0" borderId="0" applyNumberFormat="0" applyFill="0" applyBorder="0" applyAlignment="0" applyProtection="0">
      <alignment vertical="center"/>
    </xf>
    <xf numFmtId="0" fontId="4" fillId="0" borderId="0">
      <alignment vertical="center"/>
    </xf>
    <xf numFmtId="0" fontId="5" fillId="0" borderId="0" applyNumberFormat="0" applyFill="0" applyBorder="0" applyAlignment="0" applyProtection="0">
      <alignment vertical="center"/>
    </xf>
    <xf numFmtId="0" fontId="6" fillId="0" borderId="0">
      <alignment vertical="center"/>
    </xf>
  </cellStyleXfs>
  <cellXfs count="227">
    <xf numFmtId="0" fontId="0" fillId="0" borderId="0" xfId="0">
      <alignment vertical="center"/>
    </xf>
    <xf numFmtId="0" fontId="7" fillId="3" borderId="2" xfId="1" applyFont="1" applyFill="1" applyBorder="1" applyAlignment="1">
      <alignment vertical="center"/>
    </xf>
    <xf numFmtId="0" fontId="7" fillId="3" borderId="3" xfId="1" applyFont="1" applyFill="1" applyBorder="1" applyAlignment="1">
      <alignment vertical="center"/>
    </xf>
    <xf numFmtId="0" fontId="8" fillId="0" borderId="0" xfId="1" applyFont="1" applyAlignment="1">
      <alignment vertical="center"/>
    </xf>
    <xf numFmtId="0" fontId="9" fillId="0" borderId="0" xfId="0" applyFont="1">
      <alignment vertical="center"/>
    </xf>
    <xf numFmtId="0" fontId="10" fillId="0" borderId="0" xfId="1" applyFont="1" applyFill="1" applyBorder="1" applyAlignment="1">
      <alignment vertical="center"/>
    </xf>
    <xf numFmtId="0" fontId="9" fillId="0" borderId="0" xfId="0" applyFont="1" applyAlignment="1">
      <alignment vertical="center"/>
    </xf>
    <xf numFmtId="0" fontId="9" fillId="0" borderId="0" xfId="1" applyFont="1" applyAlignment="1">
      <alignment horizontal="left" vertical="center"/>
    </xf>
    <xf numFmtId="0" fontId="14" fillId="2" borderId="0" xfId="0" applyFont="1" applyFill="1" applyBorder="1">
      <alignment vertical="center"/>
    </xf>
    <xf numFmtId="0" fontId="9" fillId="2" borderId="0" xfId="0" applyFont="1" applyFill="1" applyBorder="1">
      <alignment vertical="center"/>
    </xf>
    <xf numFmtId="0" fontId="15" fillId="2" borderId="0" xfId="0" applyFont="1" applyFill="1" applyBorder="1">
      <alignment vertical="center"/>
    </xf>
    <xf numFmtId="0" fontId="9" fillId="2" borderId="0" xfId="0" applyFont="1" applyFill="1" applyBorder="1" applyAlignment="1">
      <alignment horizontal="left" vertical="center" wrapText="1"/>
    </xf>
    <xf numFmtId="0" fontId="16" fillId="7" borderId="1" xfId="0" applyFont="1" applyFill="1" applyBorder="1" applyAlignment="1">
      <alignment horizontal="justify" vertical="center" wrapText="1"/>
    </xf>
    <xf numFmtId="0" fontId="9" fillId="0" borderId="1" xfId="0" applyFont="1" applyBorder="1" applyAlignment="1">
      <alignment horizontal="justify" vertical="center" wrapText="1"/>
    </xf>
    <xf numFmtId="0" fontId="16" fillId="9" borderId="1" xfId="0" applyFont="1" applyFill="1" applyBorder="1" applyAlignment="1">
      <alignment horizontal="justify" vertical="center" wrapText="1"/>
    </xf>
    <xf numFmtId="0" fontId="7" fillId="4" borderId="2" xfId="1" applyFont="1" applyFill="1" applyBorder="1" applyAlignment="1">
      <alignment vertical="center"/>
    </xf>
    <xf numFmtId="0" fontId="7" fillId="4" borderId="3" xfId="1" applyFont="1" applyFill="1" applyBorder="1" applyAlignment="1">
      <alignment vertical="center"/>
    </xf>
    <xf numFmtId="0" fontId="10" fillId="0" borderId="0" xfId="1" applyFont="1" applyAlignment="1">
      <alignment vertical="center"/>
    </xf>
    <xf numFmtId="0" fontId="9" fillId="0" borderId="0" xfId="0" applyFont="1" applyAlignment="1">
      <alignment horizontal="left" vertical="center"/>
    </xf>
    <xf numFmtId="0" fontId="9" fillId="0" borderId="0" xfId="1" applyFont="1" applyAlignment="1">
      <alignment horizontal="left"/>
    </xf>
    <xf numFmtId="0" fontId="17" fillId="0" borderId="6" xfId="1" applyFont="1" applyBorder="1" applyAlignment="1">
      <alignment horizontal="center" vertical="center"/>
    </xf>
    <xf numFmtId="0" fontId="12" fillId="0" borderId="1" xfId="0" applyFont="1" applyBorder="1" applyAlignment="1">
      <alignment horizontal="center" vertical="center"/>
    </xf>
    <xf numFmtId="0" fontId="9" fillId="0" borderId="0" xfId="1" applyFont="1"/>
    <xf numFmtId="0" fontId="11" fillId="0" borderId="6" xfId="1" applyFont="1" applyBorder="1" applyAlignment="1">
      <alignment horizontal="center" vertical="center"/>
    </xf>
    <xf numFmtId="0" fontId="9" fillId="0" borderId="0" xfId="1" applyFont="1" applyAlignment="1">
      <alignment vertical="center"/>
    </xf>
    <xf numFmtId="0" fontId="7" fillId="4" borderId="5" xfId="1" applyFont="1" applyFill="1" applyBorder="1" applyAlignment="1">
      <alignment vertical="center"/>
    </xf>
    <xf numFmtId="0" fontId="9" fillId="0" borderId="0" xfId="0" quotePrefix="1" applyFont="1" applyAlignment="1">
      <alignment vertical="center" wrapText="1"/>
    </xf>
    <xf numFmtId="0" fontId="8" fillId="3" borderId="3" xfId="1" applyFont="1" applyFill="1" applyBorder="1" applyAlignment="1">
      <alignment vertical="center"/>
    </xf>
    <xf numFmtId="0" fontId="8" fillId="0" borderId="0" xfId="1" applyFont="1" applyFill="1" applyBorder="1" applyAlignment="1">
      <alignment vertical="center" shrinkToFit="1"/>
    </xf>
    <xf numFmtId="0" fontId="12" fillId="5" borderId="1" xfId="1" applyFont="1" applyFill="1" applyBorder="1" applyAlignment="1">
      <alignment vertical="center"/>
    </xf>
    <xf numFmtId="0" fontId="13" fillId="5" borderId="1" xfId="1" quotePrefix="1" applyFont="1" applyFill="1" applyBorder="1" applyAlignment="1">
      <alignment vertical="center"/>
    </xf>
    <xf numFmtId="0" fontId="9" fillId="0" borderId="0" xfId="0" applyFont="1" applyAlignment="1">
      <alignment vertical="top"/>
    </xf>
    <xf numFmtId="0" fontId="9" fillId="0" borderId="0" xfId="1" applyFont="1" applyAlignment="1">
      <alignment vertical="top"/>
    </xf>
    <xf numFmtId="0" fontId="9" fillId="0" borderId="0" xfId="1" applyFont="1" applyAlignment="1">
      <alignment vertical="center" wrapText="1"/>
    </xf>
    <xf numFmtId="0" fontId="12" fillId="0" borderId="0" xfId="1" applyFont="1" applyAlignment="1">
      <alignment vertical="center"/>
    </xf>
    <xf numFmtId="0" fontId="18" fillId="0" borderId="0" xfId="1" applyFont="1" applyFill="1" applyBorder="1" applyAlignment="1">
      <alignment vertical="center" shrinkToFit="1"/>
    </xf>
    <xf numFmtId="0" fontId="9" fillId="0" borderId="0" xfId="1" applyFont="1" applyAlignment="1">
      <alignment horizontal="center" vertical="center"/>
    </xf>
    <xf numFmtId="0" fontId="9" fillId="0" borderId="0" xfId="1" applyFont="1" applyAlignment="1">
      <alignment horizontal="left" vertical="top"/>
    </xf>
    <xf numFmtId="176" fontId="9" fillId="0" borderId="0" xfId="1" applyNumberFormat="1" applyFont="1" applyAlignment="1">
      <alignment horizontal="left" vertical="top"/>
    </xf>
    <xf numFmtId="0" fontId="7" fillId="3" borderId="5" xfId="1" applyFont="1" applyFill="1" applyBorder="1" applyAlignment="1">
      <alignment vertical="center"/>
    </xf>
    <xf numFmtId="0" fontId="9" fillId="0" borderId="0" xfId="0" applyFont="1" applyFill="1" applyBorder="1">
      <alignment vertical="center"/>
    </xf>
    <xf numFmtId="0" fontId="8" fillId="0" borderId="0" xfId="1" applyFont="1" applyFill="1" applyAlignment="1">
      <alignment vertical="center"/>
    </xf>
    <xf numFmtId="0" fontId="8" fillId="0" borderId="0" xfId="1" quotePrefix="1" applyFont="1" applyAlignment="1">
      <alignment vertical="center"/>
    </xf>
    <xf numFmtId="0" fontId="8" fillId="0" borderId="0" xfId="1" applyFont="1" applyFill="1" applyBorder="1" applyAlignment="1">
      <alignment vertical="center"/>
    </xf>
    <xf numFmtId="0" fontId="17" fillId="0" borderId="0" xfId="0" applyFont="1" applyFill="1" applyBorder="1">
      <alignment vertical="center"/>
    </xf>
    <xf numFmtId="0" fontId="9" fillId="0" borderId="0" xfId="0" applyFont="1" applyFill="1" applyBorder="1" applyAlignment="1">
      <alignment horizontal="left" vertical="center"/>
    </xf>
    <xf numFmtId="1" fontId="9" fillId="0" borderId="0" xfId="0" applyNumberFormat="1" applyFont="1" applyFill="1" applyAlignment="1">
      <alignment horizontal="center" vertical="center"/>
    </xf>
    <xf numFmtId="0" fontId="9" fillId="0" borderId="0" xfId="0" applyFont="1" applyFill="1" applyAlignment="1">
      <alignment horizontal="left" vertical="center"/>
    </xf>
    <xf numFmtId="176" fontId="9" fillId="0" borderId="0" xfId="0" applyNumberFormat="1" applyFont="1" applyFill="1" applyAlignment="1">
      <alignment horizontal="left" vertical="center"/>
    </xf>
    <xf numFmtId="0" fontId="9" fillId="2" borderId="0" xfId="0" applyFont="1" applyFill="1" applyBorder="1" applyAlignment="1">
      <alignment vertical="center"/>
    </xf>
    <xf numFmtId="0" fontId="9" fillId="11" borderId="1" xfId="0" applyFont="1" applyFill="1" applyBorder="1" applyAlignment="1">
      <alignment horizontal="justify" vertical="center" wrapText="1"/>
    </xf>
    <xf numFmtId="0" fontId="16" fillId="12" borderId="1" xfId="0" applyFont="1" applyFill="1" applyBorder="1" applyAlignment="1">
      <alignment horizontal="justify" vertical="center" wrapText="1"/>
    </xf>
    <xf numFmtId="0" fontId="17" fillId="12" borderId="1" xfId="0" applyFont="1" applyFill="1" applyBorder="1" applyAlignment="1">
      <alignment horizontal="justify" vertical="center" wrapText="1"/>
    </xf>
    <xf numFmtId="0" fontId="9" fillId="0" borderId="5" xfId="1" applyFont="1" applyFill="1" applyBorder="1" applyAlignment="1">
      <alignment horizontal="center" vertical="center"/>
    </xf>
    <xf numFmtId="0" fontId="8" fillId="0" borderId="5" xfId="1" applyFont="1" applyBorder="1" applyAlignment="1">
      <alignment vertical="center"/>
    </xf>
    <xf numFmtId="0" fontId="9" fillId="0" borderId="1" xfId="0" applyFont="1" applyBorder="1" applyAlignment="1">
      <alignment horizontal="center" vertical="center"/>
    </xf>
    <xf numFmtId="0" fontId="9" fillId="0" borderId="5" xfId="1" applyFont="1" applyBorder="1" applyAlignment="1">
      <alignment vertical="center"/>
    </xf>
    <xf numFmtId="0" fontId="9" fillId="0" borderId="1" xfId="1" applyFont="1" applyBorder="1" applyAlignment="1">
      <alignment horizontal="center" vertical="center"/>
    </xf>
    <xf numFmtId="0" fontId="10" fillId="4" borderId="6" xfId="1" applyFont="1" applyFill="1" applyBorder="1" applyAlignment="1">
      <alignment horizontal="center" vertical="center"/>
    </xf>
    <xf numFmtId="0" fontId="21" fillId="4" borderId="9" xfId="1" applyFont="1" applyFill="1" applyBorder="1" applyAlignment="1">
      <alignment horizontal="center" vertical="center"/>
    </xf>
    <xf numFmtId="0" fontId="21" fillId="4" borderId="6" xfId="1" applyFont="1" applyFill="1" applyBorder="1" applyAlignment="1">
      <alignment horizontal="center" vertical="center"/>
    </xf>
    <xf numFmtId="0" fontId="9" fillId="0" borderId="3" xfId="1" applyFont="1" applyFill="1" applyBorder="1" applyAlignment="1">
      <alignment vertical="center"/>
    </xf>
    <xf numFmtId="0" fontId="9" fillId="0" borderId="0" xfId="1" applyNumberFormat="1" applyFont="1" applyAlignment="1">
      <alignment horizontal="left" vertical="center"/>
    </xf>
    <xf numFmtId="49" fontId="17" fillId="0" borderId="0" xfId="1" applyNumberFormat="1" applyFont="1" applyAlignment="1">
      <alignment horizontal="left" vertical="center" wrapText="1"/>
    </xf>
    <xf numFmtId="49" fontId="17" fillId="0" borderId="0" xfId="1" applyNumberFormat="1" applyFont="1" applyAlignment="1">
      <alignment horizontal="left" vertical="center"/>
    </xf>
    <xf numFmtId="0" fontId="8" fillId="0" borderId="3" xfId="1" applyFont="1" applyBorder="1" applyAlignment="1">
      <alignment vertical="center" wrapText="1"/>
    </xf>
    <xf numFmtId="0" fontId="9" fillId="0" borderId="3" xfId="1" applyFont="1" applyBorder="1" applyAlignment="1">
      <alignment vertical="center" wrapText="1"/>
    </xf>
    <xf numFmtId="0" fontId="9" fillId="0" borderId="10" xfId="1" applyFont="1" applyBorder="1" applyAlignment="1">
      <alignment vertical="center" wrapText="1"/>
    </xf>
    <xf numFmtId="0" fontId="9" fillId="0" borderId="1" xfId="0" applyFont="1" applyBorder="1" applyAlignment="1">
      <alignment horizontal="left" vertical="center"/>
    </xf>
    <xf numFmtId="0" fontId="9" fillId="0" borderId="1" xfId="1" applyFont="1" applyFill="1" applyBorder="1" applyAlignment="1">
      <alignment horizontal="left" vertical="top"/>
    </xf>
    <xf numFmtId="0" fontId="9" fillId="0" borderId="1" xfId="0" applyNumberFormat="1" applyFont="1" applyBorder="1" applyAlignment="1">
      <alignment horizontal="center" vertical="center"/>
    </xf>
    <xf numFmtId="0" fontId="9" fillId="0" borderId="1" xfId="1" applyNumberFormat="1" applyFont="1" applyBorder="1" applyAlignment="1">
      <alignment horizontal="center" vertical="center"/>
    </xf>
    <xf numFmtId="0" fontId="9" fillId="0" borderId="1" xfId="1" applyFont="1" applyFill="1" applyBorder="1" applyAlignment="1">
      <alignment horizontal="center" vertical="center"/>
    </xf>
    <xf numFmtId="176" fontId="8" fillId="0" borderId="1" xfId="1" quotePrefix="1" applyNumberFormat="1" applyFont="1" applyBorder="1" applyAlignment="1">
      <alignment horizontal="left" vertical="top"/>
    </xf>
    <xf numFmtId="0" fontId="9" fillId="0" borderId="1" xfId="1" applyFont="1" applyBorder="1" applyAlignment="1">
      <alignment horizontal="left" vertical="top"/>
    </xf>
    <xf numFmtId="0" fontId="8" fillId="0" borderId="1" xfId="1" quotePrefix="1" applyFont="1" applyBorder="1" applyAlignment="1">
      <alignment horizontal="left" vertical="top"/>
    </xf>
    <xf numFmtId="0" fontId="8" fillId="0" borderId="1" xfId="1" quotePrefix="1" applyNumberFormat="1" applyFont="1" applyFill="1" applyBorder="1" applyAlignment="1">
      <alignment horizontal="left" vertical="top"/>
    </xf>
    <xf numFmtId="176" fontId="8" fillId="0" borderId="1" xfId="1" quotePrefix="1" applyNumberFormat="1" applyFont="1" applyFill="1" applyBorder="1" applyAlignment="1">
      <alignment horizontal="left" vertical="top"/>
    </xf>
    <xf numFmtId="0" fontId="10" fillId="0" borderId="1" xfId="1" applyFont="1" applyFill="1" applyBorder="1" applyAlignment="1">
      <alignment horizontal="center" vertical="center" wrapText="1" shrinkToFit="1"/>
    </xf>
    <xf numFmtId="0" fontId="9" fillId="2" borderId="0" xfId="0" applyFont="1" applyFill="1" applyBorder="1" applyAlignment="1">
      <alignment horizontal="left" vertical="center" wrapText="1"/>
    </xf>
    <xf numFmtId="0" fontId="9" fillId="0" borderId="10" xfId="1" applyFont="1" applyFill="1" applyBorder="1" applyAlignment="1">
      <alignment vertical="center"/>
    </xf>
    <xf numFmtId="0" fontId="15" fillId="3"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9" fillId="12" borderId="1" xfId="0" applyFont="1" applyFill="1" applyBorder="1" applyAlignment="1">
      <alignment horizontal="justify" vertical="center" wrapText="1"/>
    </xf>
    <xf numFmtId="0" fontId="15" fillId="8" borderId="1" xfId="0" applyFont="1" applyFill="1" applyBorder="1" applyAlignment="1">
      <alignment horizontal="center" vertical="center" wrapText="1"/>
    </xf>
    <xf numFmtId="0" fontId="24" fillId="8"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9" fillId="0" borderId="1" xfId="1" applyFont="1" applyFill="1" applyBorder="1" applyAlignment="1">
      <alignment vertical="center"/>
    </xf>
    <xf numFmtId="0" fontId="8" fillId="0" borderId="1" xfId="1" applyFont="1" applyBorder="1" applyAlignment="1">
      <alignment vertical="center"/>
    </xf>
    <xf numFmtId="0" fontId="9" fillId="0" borderId="1" xfId="1" applyFont="1" applyBorder="1" applyAlignment="1">
      <alignment vertical="center"/>
    </xf>
    <xf numFmtId="0" fontId="9" fillId="0" borderId="1" xfId="1" quotePrefix="1" applyFont="1" applyFill="1" applyBorder="1" applyAlignment="1">
      <alignment vertical="center"/>
    </xf>
    <xf numFmtId="0" fontId="12" fillId="0" borderId="5" xfId="0" applyFont="1" applyBorder="1" applyAlignment="1">
      <alignment horizontal="center" vertical="center"/>
    </xf>
    <xf numFmtId="0" fontId="12" fillId="0" borderId="1" xfId="0" applyNumberFormat="1" applyFont="1" applyFill="1" applyBorder="1" applyAlignment="1">
      <alignment horizontal="left" vertical="center" wrapText="1"/>
    </xf>
    <xf numFmtId="0" fontId="13" fillId="0" borderId="1" xfId="1" applyNumberFormat="1" applyFont="1" applyFill="1" applyBorder="1" applyAlignment="1">
      <alignment horizontal="left" vertical="center" wrapText="1"/>
    </xf>
    <xf numFmtId="49" fontId="25" fillId="10" borderId="1" xfId="1" applyNumberFormat="1" applyFont="1" applyFill="1" applyBorder="1" applyAlignment="1">
      <alignment horizontal="left" vertical="center" wrapText="1"/>
    </xf>
    <xf numFmtId="14" fontId="12" fillId="0" borderId="1" xfId="1" applyNumberFormat="1" applyFont="1" applyFill="1" applyBorder="1" applyAlignment="1">
      <alignment horizontal="left" vertical="center" wrapText="1"/>
    </xf>
    <xf numFmtId="49" fontId="27" fillId="10" borderId="1" xfId="1" applyNumberFormat="1" applyFont="1" applyFill="1" applyBorder="1" applyAlignment="1">
      <alignment horizontal="left" vertical="center" wrapText="1"/>
    </xf>
    <xf numFmtId="49" fontId="27" fillId="10" borderId="1" xfId="1" applyNumberFormat="1" applyFont="1" applyFill="1" applyBorder="1" applyAlignment="1">
      <alignment horizontal="left" vertical="center" wrapText="1" shrinkToFit="1"/>
    </xf>
    <xf numFmtId="14" fontId="13" fillId="0" borderId="1" xfId="2" applyNumberFormat="1" applyFont="1" applyFill="1" applyBorder="1" applyAlignment="1">
      <alignment horizontal="left" vertical="center" wrapText="1" shrinkToFit="1"/>
    </xf>
    <xf numFmtId="0" fontId="13" fillId="0" borderId="1" xfId="2" applyFont="1" applyFill="1" applyBorder="1" applyAlignment="1">
      <alignment horizontal="left" vertical="center" wrapText="1" shrinkToFit="1"/>
    </xf>
    <xf numFmtId="0" fontId="12" fillId="0" borderId="1" xfId="1" applyFont="1" applyBorder="1" applyAlignment="1">
      <alignment horizontal="left" vertical="center" wrapText="1"/>
    </xf>
    <xf numFmtId="0" fontId="12" fillId="0" borderId="1" xfId="0" applyFont="1" applyBorder="1" applyAlignment="1">
      <alignment horizontal="left" vertical="center" wrapText="1"/>
    </xf>
    <xf numFmtId="0" fontId="12" fillId="0" borderId="1" xfId="1" applyNumberFormat="1" applyFont="1" applyFill="1" applyBorder="1" applyAlignment="1">
      <alignment horizontal="left" vertical="center" wrapText="1"/>
    </xf>
    <xf numFmtId="0" fontId="12" fillId="0" borderId="5" xfId="1" applyNumberFormat="1" applyFont="1" applyBorder="1" applyAlignment="1">
      <alignment horizontal="center" vertical="center"/>
    </xf>
    <xf numFmtId="0" fontId="11" fillId="2" borderId="9" xfId="1" applyFont="1" applyFill="1" applyBorder="1" applyAlignment="1">
      <alignment horizontal="center" vertical="center" shrinkToFit="1"/>
    </xf>
    <xf numFmtId="0" fontId="11" fillId="4" borderId="6" xfId="1" applyFont="1" applyFill="1" applyBorder="1" applyAlignment="1">
      <alignment horizontal="center" vertical="center" wrapText="1"/>
    </xf>
    <xf numFmtId="0" fontId="11" fillId="4" borderId="7" xfId="1" applyFont="1" applyFill="1" applyBorder="1" applyAlignment="1">
      <alignment horizontal="center" vertical="center" wrapText="1" shrinkToFit="1"/>
    </xf>
    <xf numFmtId="0" fontId="11" fillId="3" borderId="6" xfId="1" applyFont="1" applyFill="1" applyBorder="1" applyAlignment="1">
      <alignment horizontal="center" vertical="center" wrapText="1"/>
    </xf>
    <xf numFmtId="0" fontId="11" fillId="3" borderId="7" xfId="1" applyFont="1" applyFill="1" applyBorder="1" applyAlignment="1">
      <alignment horizontal="center" vertical="center" wrapText="1" shrinkToFit="1"/>
    </xf>
    <xf numFmtId="0" fontId="12" fillId="0" borderId="4" xfId="0" applyNumberFormat="1" applyFont="1" applyFill="1" applyBorder="1" applyAlignment="1">
      <alignment horizontal="left" vertical="center" wrapText="1"/>
    </xf>
    <xf numFmtId="0" fontId="11" fillId="3" borderId="6" xfId="1" applyFont="1" applyFill="1" applyBorder="1" applyAlignment="1">
      <alignment horizontal="center" vertical="center"/>
    </xf>
    <xf numFmtId="0" fontId="11" fillId="3" borderId="6" xfId="1" applyFont="1" applyFill="1" applyBorder="1" applyAlignment="1">
      <alignment horizontal="center" vertical="center" shrinkToFit="1"/>
    </xf>
    <xf numFmtId="0" fontId="11" fillId="3" borderId="6" xfId="1" applyFont="1" applyFill="1" applyBorder="1" applyAlignment="1">
      <alignment horizontal="center" vertical="center" wrapText="1" shrinkToFit="1"/>
    </xf>
    <xf numFmtId="0" fontId="26" fillId="0" borderId="1" xfId="2" applyNumberFormat="1" applyFill="1" applyBorder="1" applyAlignment="1">
      <alignment horizontal="left" vertical="center" wrapText="1"/>
    </xf>
    <xf numFmtId="0" fontId="12" fillId="0" borderId="1" xfId="1" applyNumberFormat="1" applyFont="1" applyFill="1" applyBorder="1" applyAlignment="1">
      <alignment horizontal="left" vertical="center" wrapText="1" shrinkToFit="1"/>
    </xf>
    <xf numFmtId="0" fontId="12" fillId="0" borderId="4" xfId="1" applyFont="1" applyBorder="1" applyAlignment="1">
      <alignment horizontal="left" vertical="center" wrapText="1"/>
    </xf>
    <xf numFmtId="0" fontId="9" fillId="0" borderId="4" xfId="1" applyNumberFormat="1" applyFont="1" applyBorder="1" applyAlignment="1">
      <alignment horizontal="center" vertical="center"/>
    </xf>
    <xf numFmtId="0" fontId="12" fillId="5" borderId="12" xfId="1" applyNumberFormat="1" applyFont="1" applyFill="1" applyBorder="1" applyAlignment="1">
      <alignment vertical="center"/>
    </xf>
    <xf numFmtId="0" fontId="12" fillId="5" borderId="4" xfId="1" applyNumberFormat="1" applyFont="1" applyFill="1" applyBorder="1" applyAlignment="1">
      <alignment vertical="center"/>
    </xf>
    <xf numFmtId="0" fontId="26" fillId="0" borderId="1" xfId="2" applyNumberFormat="1" applyFill="1" applyBorder="1" applyAlignment="1">
      <alignment horizontal="left" vertical="top" wrapText="1"/>
    </xf>
    <xf numFmtId="0" fontId="18" fillId="0" borderId="0" xfId="1" quotePrefix="1" applyNumberFormat="1" applyFont="1" applyFill="1" applyBorder="1" applyAlignment="1">
      <alignment vertical="center" shrinkToFit="1"/>
    </xf>
    <xf numFmtId="0" fontId="17" fillId="3" borderId="4" xfId="1" applyFont="1" applyFill="1" applyBorder="1" applyAlignment="1">
      <alignment horizontal="center" vertical="center"/>
    </xf>
    <xf numFmtId="0" fontId="17" fillId="3" borderId="4" xfId="1" applyFont="1" applyFill="1" applyBorder="1" applyAlignment="1">
      <alignment horizontal="center" vertical="center" wrapText="1"/>
    </xf>
    <xf numFmtId="0" fontId="11" fillId="3" borderId="1" xfId="1" applyFont="1" applyFill="1" applyBorder="1" applyAlignment="1">
      <alignment horizontal="center" vertical="center" wrapText="1" shrinkToFit="1"/>
    </xf>
    <xf numFmtId="0" fontId="17" fillId="3" borderId="1" xfId="0" applyFont="1" applyFill="1" applyBorder="1" applyAlignment="1">
      <alignment horizontal="center" vertical="center" wrapText="1"/>
    </xf>
    <xf numFmtId="0" fontId="17" fillId="3" borderId="1" xfId="1" applyFont="1" applyFill="1" applyBorder="1" applyAlignment="1">
      <alignment vertical="center"/>
    </xf>
    <xf numFmtId="0" fontId="17" fillId="0" borderId="6" xfId="1" applyFont="1" applyFill="1" applyBorder="1" applyAlignment="1">
      <alignment horizontal="center" vertical="center"/>
    </xf>
    <xf numFmtId="0" fontId="17" fillId="3" borderId="9"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1" xfId="1" applyFont="1" applyFill="1" applyBorder="1" applyAlignment="1">
      <alignment horizontal="center" vertical="center" wrapText="1"/>
    </xf>
    <xf numFmtId="0" fontId="11" fillId="0" borderId="6" xfId="1" applyFont="1" applyFill="1" applyBorder="1" applyAlignment="1">
      <alignment horizontal="center" vertical="center"/>
    </xf>
    <xf numFmtId="0" fontId="12" fillId="0" borderId="0" xfId="1" applyFont="1" applyAlignment="1">
      <alignment horizontal="center"/>
    </xf>
    <xf numFmtId="0" fontId="12" fillId="0" borderId="0" xfId="1" applyFont="1" applyAlignment="1">
      <alignment horizontal="left" vertical="center" wrapText="1"/>
    </xf>
    <xf numFmtId="0" fontId="12" fillId="0" borderId="0" xfId="1" applyFont="1" applyAlignment="1">
      <alignment horizontal="left"/>
    </xf>
    <xf numFmtId="0" fontId="12" fillId="0" borderId="0" xfId="1" applyNumberFormat="1" applyFont="1" applyAlignment="1">
      <alignment horizontal="left" vertical="center" wrapText="1"/>
    </xf>
    <xf numFmtId="0" fontId="12" fillId="0" borderId="0" xfId="1" applyNumberFormat="1" applyFont="1" applyAlignment="1">
      <alignment horizontal="left" vertical="center"/>
    </xf>
    <xf numFmtId="0" fontId="12" fillId="0" borderId="0" xfId="0" applyFont="1" applyAlignment="1">
      <alignment vertical="center"/>
    </xf>
    <xf numFmtId="49" fontId="26" fillId="0" borderId="0" xfId="2" applyNumberFormat="1" applyAlignment="1">
      <alignment horizontal="left" vertical="center"/>
    </xf>
    <xf numFmtId="0" fontId="26" fillId="0" borderId="1" xfId="2" applyBorder="1" applyAlignment="1">
      <alignment horizontal="left" vertical="center"/>
    </xf>
    <xf numFmtId="0" fontId="26" fillId="0" borderId="0" xfId="2">
      <alignment vertical="center"/>
    </xf>
    <xf numFmtId="0" fontId="26" fillId="0" borderId="1" xfId="2" applyFill="1" applyBorder="1" applyAlignment="1">
      <alignment horizontal="left" vertical="top"/>
    </xf>
    <xf numFmtId="0" fontId="26" fillId="0" borderId="4" xfId="2" applyFill="1" applyBorder="1" applyAlignment="1">
      <alignment horizontal="left" vertical="top"/>
    </xf>
    <xf numFmtId="0" fontId="26" fillId="0" borderId="0" xfId="2" applyAlignment="1">
      <alignment vertical="top"/>
    </xf>
    <xf numFmtId="0" fontId="26" fillId="0" borderId="0" xfId="2" applyAlignment="1">
      <alignment horizontal="left" vertical="top" wrapText="1"/>
    </xf>
    <xf numFmtId="0" fontId="26" fillId="0" borderId="1" xfId="2" applyFill="1" applyBorder="1" applyAlignment="1">
      <alignment vertical="top" wrapText="1"/>
    </xf>
    <xf numFmtId="0" fontId="21" fillId="3" borderId="1" xfId="1" applyFont="1" applyFill="1" applyBorder="1" applyAlignment="1">
      <alignment horizontal="center" vertical="center"/>
    </xf>
    <xf numFmtId="1" fontId="9" fillId="0" borderId="1" xfId="1" applyNumberFormat="1" applyFont="1" applyBorder="1" applyAlignment="1">
      <alignment horizontal="left" vertical="top"/>
    </xf>
    <xf numFmtId="0" fontId="9" fillId="13" borderId="6" xfId="1" applyNumberFormat="1" applyFont="1" applyFill="1" applyBorder="1" applyAlignment="1">
      <alignment horizontal="left"/>
    </xf>
    <xf numFmtId="0" fontId="26" fillId="2" borderId="0" xfId="2" applyFill="1" applyBorder="1">
      <alignment vertical="center"/>
    </xf>
    <xf numFmtId="0" fontId="9" fillId="0" borderId="5" xfId="1" applyFont="1" applyFill="1" applyBorder="1" applyAlignment="1">
      <alignment vertical="center"/>
    </xf>
    <xf numFmtId="0" fontId="9" fillId="0" borderId="4" xfId="0" applyFont="1" applyBorder="1" applyAlignment="1">
      <alignment horizontal="center" vertical="center"/>
    </xf>
    <xf numFmtId="0" fontId="9" fillId="0" borderId="8" xfId="1" applyFont="1" applyFill="1" applyBorder="1" applyAlignment="1">
      <alignment vertical="center"/>
    </xf>
    <xf numFmtId="0" fontId="9" fillId="0" borderId="4" xfId="1" applyFont="1" applyFill="1" applyBorder="1" applyAlignment="1">
      <alignment horizontal="center" vertical="center"/>
    </xf>
    <xf numFmtId="0" fontId="9" fillId="0" borderId="0" xfId="1" applyFont="1" applyBorder="1"/>
    <xf numFmtId="0" fontId="9" fillId="0" borderId="0" xfId="1" applyFont="1" applyBorder="1" applyAlignment="1">
      <alignment vertical="center"/>
    </xf>
    <xf numFmtId="0" fontId="9" fillId="0" borderId="5" xfId="0" quotePrefix="1" applyFont="1" applyBorder="1" applyAlignment="1">
      <alignment vertical="center"/>
    </xf>
    <xf numFmtId="0" fontId="9" fillId="0" borderId="2" xfId="0" applyFont="1" applyBorder="1" applyAlignment="1">
      <alignment vertical="center"/>
    </xf>
    <xf numFmtId="0" fontId="9" fillId="0" borderId="2" xfId="0" quotePrefix="1" applyFont="1" applyBorder="1" applyAlignment="1">
      <alignment vertical="center" wrapText="1"/>
    </xf>
    <xf numFmtId="0" fontId="9" fillId="0" borderId="8" xfId="0" quotePrefix="1" applyFont="1" applyBorder="1" applyAlignment="1">
      <alignment vertical="center"/>
    </xf>
    <xf numFmtId="0" fontId="9" fillId="0" borderId="12" xfId="0" quotePrefix="1" applyFont="1" applyBorder="1" applyAlignment="1">
      <alignment vertical="center" wrapText="1"/>
    </xf>
    <xf numFmtId="0" fontId="10" fillId="4" borderId="9" xfId="0" quotePrefix="1" applyFont="1" applyFill="1" applyBorder="1" applyAlignment="1">
      <alignment vertical="center"/>
    </xf>
    <xf numFmtId="0" fontId="10" fillId="4" borderId="7" xfId="0" applyFont="1" applyFill="1" applyBorder="1" applyAlignment="1">
      <alignment horizontal="left" vertical="center"/>
    </xf>
    <xf numFmtId="0" fontId="9" fillId="0" borderId="5" xfId="0" quotePrefix="1" applyFont="1" applyBorder="1" applyAlignment="1">
      <alignment horizontal="left" vertical="center"/>
    </xf>
    <xf numFmtId="0" fontId="9" fillId="0" borderId="8" xfId="0" applyFont="1" applyBorder="1" applyAlignment="1">
      <alignment vertical="center"/>
    </xf>
    <xf numFmtId="0" fontId="9" fillId="0" borderId="12" xfId="0" applyFont="1" applyBorder="1" applyAlignment="1">
      <alignment vertical="center"/>
    </xf>
    <xf numFmtId="0" fontId="10" fillId="4" borderId="9" xfId="0" applyFont="1" applyFill="1" applyBorder="1" applyAlignment="1">
      <alignment horizontal="left" vertical="center"/>
    </xf>
    <xf numFmtId="0" fontId="11" fillId="4" borderId="9" xfId="0" applyFont="1" applyFill="1" applyBorder="1" applyAlignment="1">
      <alignment vertical="center"/>
    </xf>
    <xf numFmtId="0" fontId="11" fillId="4" borderId="7" xfId="0" applyFont="1" applyFill="1" applyBorder="1" applyAlignment="1">
      <alignment vertical="center"/>
    </xf>
    <xf numFmtId="1" fontId="9" fillId="0" borderId="12" xfId="0" applyNumberFormat="1" applyFont="1" applyBorder="1" applyAlignment="1">
      <alignment horizontal="left" vertical="center"/>
    </xf>
    <xf numFmtId="1" fontId="9" fillId="0" borderId="12" xfId="1" applyNumberFormat="1" applyFont="1" applyBorder="1" applyAlignment="1">
      <alignment horizontal="left" vertical="center"/>
    </xf>
    <xf numFmtId="1" fontId="9" fillId="0" borderId="10" xfId="1" applyNumberFormat="1" applyFont="1" applyBorder="1" applyAlignment="1">
      <alignment horizontal="center" vertical="center"/>
    </xf>
    <xf numFmtId="0" fontId="10" fillId="3" borderId="0" xfId="0" applyFont="1" applyFill="1" applyBorder="1" applyAlignment="1">
      <alignment horizontal="center" vertical="center"/>
    </xf>
    <xf numFmtId="0" fontId="10" fillId="3" borderId="13" xfId="1" applyNumberFormat="1" applyFont="1" applyFill="1" applyBorder="1" applyAlignment="1">
      <alignment horizontal="center" vertical="center" wrapText="1" shrinkToFit="1"/>
    </xf>
    <xf numFmtId="0" fontId="10" fillId="3" borderId="13" xfId="0" applyFont="1" applyFill="1" applyBorder="1" applyAlignment="1">
      <alignment horizontal="center" vertical="center" wrapText="1"/>
    </xf>
    <xf numFmtId="0" fontId="26" fillId="0" borderId="1" xfId="2" applyBorder="1" applyAlignment="1">
      <alignment vertical="top" wrapText="1"/>
    </xf>
    <xf numFmtId="0" fontId="26" fillId="0" borderId="1" xfId="2" applyBorder="1" applyAlignment="1">
      <alignment horizontal="left" vertical="top" wrapText="1"/>
    </xf>
    <xf numFmtId="0" fontId="9" fillId="0" borderId="8" xfId="1" applyFont="1" applyBorder="1" applyAlignment="1">
      <alignment vertical="center"/>
    </xf>
    <xf numFmtId="0" fontId="11" fillId="4" borderId="6" xfId="1" applyFont="1" applyFill="1" applyBorder="1" applyAlignment="1">
      <alignment horizontal="center" vertical="center" wrapText="1" shrinkToFit="1"/>
    </xf>
    <xf numFmtId="0" fontId="28" fillId="3" borderId="1" xfId="1" applyFont="1" applyFill="1" applyBorder="1" applyAlignment="1">
      <alignment horizontal="center" vertical="center" shrinkToFit="1"/>
    </xf>
    <xf numFmtId="0" fontId="12" fillId="0" borderId="8" xfId="0" applyFont="1" applyBorder="1" applyAlignment="1">
      <alignment horizontal="center" vertical="center"/>
    </xf>
    <xf numFmtId="0" fontId="12" fillId="0" borderId="4" xfId="0" applyFont="1" applyBorder="1" applyAlignment="1">
      <alignment horizontal="left" vertical="center" wrapText="1"/>
    </xf>
    <xf numFmtId="0" fontId="12" fillId="0" borderId="4" xfId="1" applyFont="1" applyBorder="1" applyAlignment="1">
      <alignment horizontal="left" vertical="center" wrapText="1" shrinkToFit="1"/>
    </xf>
    <xf numFmtId="0" fontId="26" fillId="0" borderId="1" xfId="2" applyBorder="1" applyAlignment="1">
      <alignment horizontal="left" vertical="center" wrapText="1"/>
    </xf>
    <xf numFmtId="0" fontId="26" fillId="0" borderId="2" xfId="2" applyNumberFormat="1" applyFill="1" applyBorder="1" applyAlignment="1">
      <alignment horizontal="left" vertical="center" wrapText="1"/>
    </xf>
    <xf numFmtId="0" fontId="26" fillId="0" borderId="2" xfId="2" applyNumberFormat="1" applyFill="1" applyBorder="1" applyAlignment="1">
      <alignment horizontal="left" vertical="center" wrapText="1" shrinkToFit="1"/>
    </xf>
    <xf numFmtId="14" fontId="12" fillId="0" borderId="1" xfId="1" applyNumberFormat="1" applyFont="1" applyBorder="1" applyAlignment="1">
      <alignment horizontal="left" vertical="center" wrapText="1"/>
    </xf>
    <xf numFmtId="0" fontId="26" fillId="0" borderId="2" xfId="2" applyBorder="1" applyAlignment="1">
      <alignment horizontal="left" vertical="center" wrapText="1"/>
    </xf>
    <xf numFmtId="0" fontId="26" fillId="0" borderId="4" xfId="2" applyBorder="1" applyAlignment="1">
      <alignment horizontal="left" vertical="center" wrapText="1"/>
    </xf>
    <xf numFmtId="0" fontId="26" fillId="0" borderId="1" xfId="2" applyBorder="1" applyAlignment="1">
      <alignment horizontal="left" vertical="center" wrapText="1" shrinkToFit="1"/>
    </xf>
    <xf numFmtId="0" fontId="26" fillId="0" borderId="1" xfId="2" applyBorder="1">
      <alignment vertical="center"/>
    </xf>
    <xf numFmtId="0" fontId="26" fillId="0" borderId="2" xfId="2" applyBorder="1" applyAlignment="1">
      <alignment horizontal="left" vertical="center" wrapText="1" shrinkToFit="1"/>
    </xf>
    <xf numFmtId="0" fontId="26" fillId="0" borderId="12" xfId="2" applyBorder="1" applyAlignment="1">
      <alignment horizontal="left" vertical="center" wrapText="1" shrinkToFit="1"/>
    </xf>
    <xf numFmtId="0" fontId="26" fillId="0" borderId="12" xfId="2" applyBorder="1" applyAlignment="1">
      <alignment horizontal="left" vertical="center" wrapText="1"/>
    </xf>
    <xf numFmtId="0" fontId="0" fillId="0" borderId="0" xfId="0" quotePrefix="1">
      <alignment vertical="center"/>
    </xf>
    <xf numFmtId="0" fontId="26" fillId="0" borderId="1" xfId="2" applyFont="1" applyBorder="1" applyAlignment="1">
      <alignment vertical="center"/>
    </xf>
    <xf numFmtId="0" fontId="26" fillId="0" borderId="0" xfId="2" applyFont="1" applyFill="1" applyAlignment="1">
      <alignment vertical="center"/>
    </xf>
    <xf numFmtId="0" fontId="26" fillId="0" borderId="1" xfId="2" applyFont="1" applyBorder="1" applyAlignment="1">
      <alignment vertical="center" wrapText="1"/>
    </xf>
    <xf numFmtId="0" fontId="26" fillId="0" borderId="1" xfId="2" applyFont="1" applyFill="1" applyBorder="1" applyAlignment="1">
      <alignment vertical="center"/>
    </xf>
    <xf numFmtId="0" fontId="13" fillId="0" borderId="1" xfId="2" applyFont="1" applyBorder="1" applyAlignment="1">
      <alignment vertical="center" wrapText="1"/>
    </xf>
    <xf numFmtId="0" fontId="13" fillId="0" borderId="4" xfId="2" applyFont="1" applyBorder="1" applyAlignment="1">
      <alignment vertical="center" wrapText="1"/>
    </xf>
    <xf numFmtId="0" fontId="26" fillId="0" borderId="4" xfId="2" applyFont="1" applyFill="1" applyBorder="1" applyAlignment="1">
      <alignment vertical="center"/>
    </xf>
    <xf numFmtId="0" fontId="13" fillId="0" borderId="1" xfId="2" applyFont="1" applyFill="1" applyBorder="1" applyAlignment="1">
      <alignment vertical="center"/>
    </xf>
    <xf numFmtId="0" fontId="13" fillId="0" borderId="4" xfId="2" applyFont="1" applyFill="1" applyBorder="1" applyAlignment="1">
      <alignment vertical="center"/>
    </xf>
    <xf numFmtId="0" fontId="26" fillId="0" borderId="4" xfId="2" applyFont="1" applyBorder="1" applyAlignment="1">
      <alignment vertical="center"/>
    </xf>
    <xf numFmtId="0" fontId="9" fillId="0" borderId="6" xfId="0" quotePrefix="1" applyFont="1" applyBorder="1" applyAlignment="1">
      <alignment vertical="center"/>
    </xf>
    <xf numFmtId="0" fontId="9" fillId="0" borderId="6" xfId="0" quotePrefix="1" applyFont="1" applyBorder="1" applyAlignment="1">
      <alignment vertical="center" wrapText="1"/>
    </xf>
    <xf numFmtId="0" fontId="9" fillId="0" borderId="2" xfId="0" quotePrefix="1" applyFont="1" applyBorder="1" applyAlignment="1" applyProtection="1">
      <alignment vertical="center" wrapText="1"/>
      <protection locked="0"/>
    </xf>
    <xf numFmtId="0" fontId="9" fillId="0" borderId="1" xfId="0" quotePrefix="1" applyFont="1" applyBorder="1" applyAlignment="1" applyProtection="1">
      <alignment vertical="center"/>
      <protection locked="0"/>
    </xf>
    <xf numFmtId="0" fontId="9" fillId="0" borderId="1" xfId="0" quotePrefix="1" applyFont="1" applyBorder="1" applyAlignment="1" applyProtection="1">
      <alignment vertical="center" wrapText="1"/>
      <protection locked="0"/>
    </xf>
    <xf numFmtId="0" fontId="9" fillId="0" borderId="1" xfId="0" applyFont="1" applyBorder="1" applyProtection="1">
      <alignment vertical="center"/>
      <protection locked="0"/>
    </xf>
    <xf numFmtId="0" fontId="9" fillId="0" borderId="1" xfId="0" applyFont="1" applyBorder="1" applyAlignment="1" applyProtection="1">
      <alignment vertical="center"/>
      <protection locked="0"/>
    </xf>
    <xf numFmtId="0" fontId="9" fillId="0" borderId="11" xfId="0" quotePrefix="1" applyFont="1" applyBorder="1" applyAlignment="1">
      <alignment vertical="center"/>
    </xf>
    <xf numFmtId="0" fontId="9" fillId="0" borderId="11" xfId="0" quotePrefix="1" applyFont="1" applyBorder="1" applyAlignment="1">
      <alignment vertical="center" wrapText="1"/>
    </xf>
    <xf numFmtId="0" fontId="10" fillId="4" borderId="9" xfId="0" quotePrefix="1" applyFont="1" applyFill="1" applyBorder="1" applyAlignment="1" applyProtection="1">
      <alignment vertical="center"/>
    </xf>
    <xf numFmtId="0" fontId="10" fillId="4" borderId="7" xfId="0" applyFont="1" applyFill="1" applyBorder="1" applyAlignment="1" applyProtection="1">
      <alignment horizontal="left" vertical="center"/>
    </xf>
    <xf numFmtId="0" fontId="8" fillId="0" borderId="5" xfId="0" quotePrefix="1" applyFont="1" applyBorder="1" applyAlignment="1" applyProtection="1">
      <alignment vertical="center"/>
    </xf>
    <xf numFmtId="0" fontId="8" fillId="0" borderId="2" xfId="0" applyFont="1" applyBorder="1" applyAlignment="1" applyProtection="1">
      <alignment vertical="center"/>
    </xf>
    <xf numFmtId="0" fontId="8" fillId="0" borderId="2" xfId="0" quotePrefix="1" applyFont="1" applyBorder="1" applyAlignment="1" applyProtection="1">
      <alignment vertical="center" wrapText="1"/>
    </xf>
    <xf numFmtId="0" fontId="8" fillId="0" borderId="8" xfId="0" quotePrefix="1" applyFont="1" applyBorder="1" applyAlignment="1" applyProtection="1">
      <alignment vertical="center"/>
    </xf>
    <xf numFmtId="0" fontId="8" fillId="0" borderId="12" xfId="0" quotePrefix="1" applyFont="1" applyBorder="1" applyAlignment="1" applyProtection="1">
      <alignment vertical="center" wrapText="1"/>
    </xf>
    <xf numFmtId="1" fontId="26" fillId="0" borderId="12" xfId="2" applyNumberFormat="1" applyBorder="1" applyAlignment="1">
      <alignment horizontal="left" vertical="top" wrapText="1"/>
    </xf>
    <xf numFmtId="0" fontId="9" fillId="2" borderId="14" xfId="0" applyFont="1" applyFill="1" applyBorder="1" applyAlignment="1">
      <alignment horizontal="center" vertical="center"/>
    </xf>
    <xf numFmtId="0" fontId="9" fillId="2" borderId="0" xfId="0" applyFont="1" applyFill="1" applyBorder="1" applyAlignment="1">
      <alignment horizontal="left" vertical="center" wrapText="1"/>
    </xf>
    <xf numFmtId="0" fontId="9" fillId="2" borderId="0" xfId="0" applyFont="1" applyFill="1" applyBorder="1" applyAlignment="1">
      <alignment horizontal="left" vertical="center"/>
    </xf>
    <xf numFmtId="0" fontId="23" fillId="0" borderId="1" xfId="2" applyFont="1" applyFill="1" applyBorder="1">
      <alignment vertical="center"/>
    </xf>
    <xf numFmtId="0" fontId="22" fillId="0" borderId="1" xfId="0" applyFont="1" applyFill="1" applyBorder="1">
      <alignment vertical="center"/>
    </xf>
  </cellXfs>
  <cellStyles count="6">
    <cellStyle name="ハイパーリンク" xfId="2" builtinId="8" customBuiltin="1"/>
    <cellStyle name="ハイパーリンク 2" xfId="4" xr:uid="{00000000-0005-0000-0000-000032000000}"/>
    <cellStyle name="標準" xfId="0" builtinId="0"/>
    <cellStyle name="標準 2" xfId="3" xr:uid="{00000000-0005-0000-0000-000033000000}"/>
    <cellStyle name="標準 3" xfId="1" xr:uid="{4D7A6C01-1970-4910-A39C-87B284171618}"/>
    <cellStyle name="標準 3 2" xfId="5" xr:uid="{F1C5F8D6-B40E-49CB-936C-DFE48DD177DE}"/>
  </cellStyles>
  <dxfs count="179">
    <dxf>
      <font>
        <b val="0"/>
        <i val="0"/>
        <strike val="0"/>
        <condense val="0"/>
        <extend val="0"/>
        <outline val="0"/>
        <shadow val="0"/>
        <u val="none"/>
        <vertAlign val="baseline"/>
        <sz val="11"/>
        <color theme="1"/>
        <name val="IPA Pゴシック"/>
        <family val="3"/>
        <charset val="128"/>
        <scheme val="none"/>
      </font>
      <numFmt numFmtId="1" formatCode="0"/>
      <alignment horizontal="left"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IPA Pゴシック"/>
        <family val="3"/>
        <charset val="128"/>
        <scheme val="none"/>
      </font>
      <numFmt numFmtId="1" formatCode="0"/>
      <alignment horizontal="left"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IPA Pゴシック"/>
        <family val="3"/>
        <charset val="128"/>
        <scheme val="none"/>
      </font>
      <numFmt numFmtId="1" formatCode="0"/>
      <alignment horizontal="left"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1"/>
        <name val="IPA Pゴシック"/>
        <family val="3"/>
        <charset val="128"/>
        <scheme val="none"/>
      </font>
      <numFmt numFmtId="1" formatCode="0"/>
      <alignment horizontal="left"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IPA Pゴシック"/>
        <family val="3"/>
        <charset val="128"/>
        <scheme val="none"/>
      </font>
      <numFmt numFmtId="1" formatCode="0"/>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IPA Pゴシック"/>
        <family val="3"/>
        <charset val="128"/>
        <scheme val="none"/>
      </font>
      <numFmt numFmtId="1" formatCode="0"/>
      <alignment horizontal="left"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IPA Pゴシック"/>
        <family val="3"/>
        <charset val="128"/>
        <scheme val="none"/>
      </font>
      <numFmt numFmtId="1" formatCode="0"/>
      <alignment horizontal="center" vertical="center" textRotation="0" wrapText="0" indent="0" justifyLastLine="0" shrinkToFit="0" readingOrder="0"/>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IPA Pゴシック"/>
        <family val="3"/>
        <charset val="128"/>
        <scheme val="none"/>
      </font>
      <alignment horizontal="left" vertical="center" textRotation="0" wrapText="0" indent="0" justifyLastLine="0" shrinkToFit="0" readingOrder="0"/>
    </dxf>
    <dxf>
      <font>
        <b/>
        <i val="0"/>
        <strike val="0"/>
        <condense val="0"/>
        <extend val="0"/>
        <outline val="0"/>
        <shadow val="0"/>
        <u val="none"/>
        <vertAlign val="baseline"/>
        <sz val="12"/>
        <color auto="1"/>
        <name val="IPA Pゴシック"/>
        <family val="3"/>
        <charset val="128"/>
        <scheme val="none"/>
      </font>
      <numFmt numFmtId="0" formatCode="General"/>
      <fill>
        <patternFill patternType="solid">
          <fgColor indexed="64"/>
          <bgColor theme="9" tint="0.59999389629810485"/>
        </patternFill>
      </fill>
      <alignment horizontal="center" vertical="center" textRotation="0" wrapText="1" indent="0" justifyLastLine="0" shrinkToFit="1" readingOrder="0"/>
      <border diagonalUp="0" diagonalDown="0" outline="0">
        <left style="thin">
          <color indexed="64"/>
        </left>
        <right style="thin">
          <color indexed="64"/>
        </right>
        <top/>
        <bottom/>
      </border>
    </dxf>
    <dxf>
      <fill>
        <patternFill>
          <bgColor theme="5" tint="0.79998168889431442"/>
        </patternFill>
      </fill>
    </dxf>
    <dxf>
      <font>
        <b/>
        <i val="0"/>
        <color rgb="FFFF0000"/>
      </font>
      <fill>
        <patternFill>
          <bgColor rgb="FFFFFF00"/>
        </patternFill>
      </fill>
    </dxf>
    <dxf>
      <font>
        <strike val="0"/>
        <outline val="0"/>
        <shadow val="0"/>
        <vertAlign val="baseline"/>
        <sz val="11"/>
        <name val="IPA Pゴシック"/>
        <family val="3"/>
        <charset val="128"/>
        <scheme val="none"/>
      </font>
      <numFmt numFmtId="0" formatCode="General"/>
      <fill>
        <patternFill patternType="solid">
          <fgColor indexed="64"/>
          <bgColor theme="0" tint="-0.499984740745262"/>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1"/>
        <name val="IPA Pゴシック"/>
        <family val="3"/>
        <charset val="128"/>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1"/>
        <name val="IPA Pゴシック"/>
        <family val="3"/>
        <charset val="128"/>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1"/>
        <name val="IPA Pゴシック"/>
        <family val="3"/>
        <charset val="128"/>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1"/>
        <name val="IPA Pゴシック"/>
        <family val="3"/>
        <charset val="128"/>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1"/>
        <name val="IPA Pゴシック"/>
        <family val="3"/>
        <charset val="128"/>
        <scheme val="none"/>
      </font>
      <numFmt numFmtId="0" formatCode="Genera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IPA Pゴシック"/>
        <family val="3"/>
        <charset val="128"/>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IPA Pゴシック"/>
        <family val="3"/>
        <charset val="128"/>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IPA Pゴシック"/>
        <family val="3"/>
        <charset val="128"/>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IPA Pゴシック"/>
        <family val="3"/>
        <charset val="128"/>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IPA Pゴシック"/>
        <family val="3"/>
        <charset val="128"/>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IPA Pゴシック"/>
        <family val="3"/>
        <charset val="128"/>
        <scheme val="none"/>
      </font>
      <numFmt numFmtId="176" formatCode="0.0"/>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IPA Pゴシック"/>
        <family val="3"/>
        <charset val="128"/>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IPA Pゴシック"/>
        <family val="3"/>
        <charset val="128"/>
        <scheme val="none"/>
      </font>
      <numFmt numFmtId="176" formatCode="0.0"/>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IPA Pゴシック"/>
        <family val="3"/>
        <charset val="128"/>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IPA Pゴシック"/>
        <family val="3"/>
        <charset val="128"/>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1"/>
        <name val="IPA Pゴシック"/>
        <family val="3"/>
        <charset val="128"/>
        <scheme val="none"/>
      </font>
      <alignment horizontal="lef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IPA Pゴシック"/>
        <family val="3"/>
        <charset val="128"/>
        <scheme val="none"/>
      </font>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theme="0" tint="-0.24994659260841701"/>
        </patternFill>
      </fill>
    </dxf>
    <dxf>
      <font>
        <strike val="0"/>
        <outline val="0"/>
        <shadow val="0"/>
        <vertAlign val="baseline"/>
        <sz val="10"/>
        <name val="IPA Pゴシック"/>
        <family val="3"/>
        <charset val="128"/>
        <scheme val="none"/>
      </font>
      <numFmt numFmtId="0" formatCode="General"/>
      <fill>
        <patternFill patternType="solid">
          <fgColor indexed="64"/>
          <bgColor theme="0" tint="-0.249977111117893"/>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name val="IPA Pゴシック"/>
        <family val="3"/>
        <charset val="128"/>
        <scheme val="none"/>
      </font>
      <numFmt numFmtId="0" formatCode="General"/>
      <fill>
        <patternFill patternType="solid">
          <fgColor indexed="64"/>
          <bgColor theme="0" tint="-0.249977111117893"/>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border>
    </dxf>
    <dxf>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0" formatCode="Genera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1"/>
        <name val="IPA Pゴシック"/>
        <family val="3"/>
        <charset val="128"/>
        <scheme val="none"/>
      </font>
      <numFmt numFmtId="0" formatCode="Genera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IPA Pゴシック"/>
        <family val="3"/>
        <charset val="128"/>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vertAlign val="baseline"/>
        <sz val="10"/>
        <name val="IPA Pゴシック"/>
        <family val="3"/>
        <charset val="128"/>
        <scheme val="none"/>
      </font>
      <alignment vertical="top" textRotation="0" indent="0" justifyLastLine="0" shrinkToFit="0" readingOrder="0"/>
    </dxf>
    <dxf>
      <border outline="0">
        <bottom style="thin">
          <color rgb="FF000000"/>
        </bottom>
      </border>
    </dxf>
    <dxf>
      <font>
        <b/>
        <i val="0"/>
        <strike val="0"/>
        <condense val="0"/>
        <extend val="0"/>
        <outline val="0"/>
        <shadow val="0"/>
        <u val="none"/>
        <vertAlign val="baseline"/>
        <sz val="11"/>
        <color theme="1"/>
        <name val="IPA Pゴシック"/>
        <family val="3"/>
        <charset val="128"/>
        <scheme val="none"/>
      </font>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indexed="64"/>
        </left>
        <right style="thin">
          <color indexed="64"/>
        </right>
        <top/>
        <bottom/>
      </border>
    </dxf>
    <dxf>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1"/>
        <color auto="1"/>
        <name val="IPA 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IPA Pゴシック"/>
        <family val="3"/>
        <charset val="128"/>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vertAlign val="baseline"/>
        <sz val="11"/>
        <name val="IPA Pゴシック"/>
        <family val="3"/>
        <charset val="128"/>
        <scheme val="none"/>
      </font>
      <alignment vertical="top" textRotation="0" indent="0" justifyLastLine="0" shrinkToFit="0" readingOrder="0"/>
    </dxf>
    <dxf>
      <border outline="0">
        <bottom style="thin">
          <color rgb="FF000000"/>
        </bottom>
      </border>
    </dxf>
    <dxf>
      <font>
        <b/>
        <i val="0"/>
        <strike val="0"/>
        <condense val="0"/>
        <extend val="0"/>
        <outline val="0"/>
        <shadow val="0"/>
        <u val="none"/>
        <vertAlign val="baseline"/>
        <sz val="11"/>
        <color theme="1"/>
        <name val="IPA Pゴシック"/>
        <family val="3"/>
        <charset val="128"/>
        <scheme val="none"/>
      </font>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indexed="64"/>
        </left>
        <right style="thin">
          <color indexed="64"/>
        </right>
        <top/>
        <bottom/>
      </border>
    </dxf>
    <dxf>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1"/>
        <name val="IPA 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IPA Pゴシック"/>
        <family val="3"/>
        <charset val="128"/>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vertAlign val="baseline"/>
        <sz val="11"/>
        <name val="IPA Pゴシック"/>
        <family val="3"/>
        <charset val="128"/>
        <scheme val="none"/>
      </font>
      <alignment vertical="top" textRotation="0" indent="0" justifyLastLine="0" shrinkToFit="0" readingOrder="0"/>
    </dxf>
    <dxf>
      <border outline="0">
        <bottom style="thin">
          <color rgb="FF000000"/>
        </bottom>
      </border>
    </dxf>
    <dxf>
      <font>
        <b/>
        <i val="0"/>
        <strike val="0"/>
        <condense val="0"/>
        <extend val="0"/>
        <outline val="0"/>
        <shadow val="0"/>
        <u val="none"/>
        <vertAlign val="baseline"/>
        <sz val="11"/>
        <color theme="1"/>
        <name val="IPA Pゴシック"/>
        <family val="3"/>
        <charset val="128"/>
        <scheme val="none"/>
      </font>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indexed="64"/>
        </left>
        <right style="thin">
          <color indexed="64"/>
        </right>
        <top/>
        <bottom/>
      </border>
    </dxf>
    <dxf>
      <numFmt numFmtId="0" formatCode="Genera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1"/>
        <name val="IPA 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IPA Pゴシック"/>
        <family val="3"/>
        <charset val="128"/>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rgb="FF000000"/>
        </right>
        <top style="thin">
          <color rgb="FF000000"/>
        </top>
        <bottom style="thin">
          <color rgb="FF000000"/>
        </bottom>
      </border>
    </dxf>
    <dxf>
      <font>
        <strike val="0"/>
        <outline val="0"/>
        <shadow val="0"/>
        <vertAlign val="baseline"/>
        <sz val="11"/>
        <name val="IPA Pゴシック"/>
        <family val="3"/>
        <charset val="128"/>
        <scheme val="none"/>
      </font>
      <alignment vertical="top" textRotation="0" indent="0" justifyLastLine="0" shrinkToFit="0" readingOrder="0"/>
    </dxf>
    <dxf>
      <border outline="0">
        <bottom style="thin">
          <color rgb="FF000000"/>
        </bottom>
      </border>
    </dxf>
    <dxf>
      <font>
        <b/>
        <i val="0"/>
        <strike val="0"/>
        <condense val="0"/>
        <extend val="0"/>
        <outline val="0"/>
        <shadow val="0"/>
        <u val="none"/>
        <vertAlign val="baseline"/>
        <sz val="11"/>
        <color auto="1"/>
        <name val="IPA Pゴシック"/>
        <family val="3"/>
        <charset val="128"/>
        <scheme val="none"/>
      </font>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theme="7" tint="0.79998168889431442"/>
        </patternFill>
      </fill>
    </dxf>
    <dxf>
      <font>
        <b val="0"/>
        <i val="0"/>
        <strike val="0"/>
        <condense val="0"/>
        <extend val="0"/>
        <outline val="0"/>
        <shadow val="0"/>
        <u val="none"/>
        <vertAlign val="baseline"/>
        <sz val="10"/>
        <color theme="1"/>
        <name val="IPA Pゴシック"/>
        <family val="3"/>
        <charset val="128"/>
        <scheme val="none"/>
      </font>
      <fill>
        <patternFill patternType="none">
          <fgColor indexed="64"/>
          <bgColor indexed="65"/>
        </patternFill>
      </fill>
      <alignment horizontal="left" vertical="center" textRotation="0" wrapText="0" indent="0" justifyLastLine="0" shrinkToFit="1"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0"/>
        <color theme="1"/>
        <name val="IPA Pゴシック"/>
        <family val="3"/>
        <charset val="128"/>
        <scheme val="none"/>
      </font>
      <numFmt numFmtId="30" formatCode="@"/>
      <fill>
        <patternFill patternType="solid">
          <fgColor indexed="64"/>
          <bgColor rgb="FFFFFF00"/>
        </patternFill>
      </fill>
      <alignment horizontal="left"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indexed="65"/>
        </patternFill>
      </fill>
      <alignment horizontal="left" vertical="center" textRotation="0" wrapText="1" indent="0" justifyLastLine="0" shrinkToFit="0" readingOrder="0"/>
      <border diagonalUp="0" diagonalDown="0">
        <left/>
        <right/>
        <top style="thin">
          <color indexed="64"/>
        </top>
        <bottom style="thin">
          <color indexed="64"/>
        </bottom>
      </border>
    </dxf>
    <dxf>
      <font>
        <b/>
        <i val="0"/>
        <strike val="0"/>
        <condense val="0"/>
        <extend val="0"/>
        <outline val="0"/>
        <shadow val="0"/>
        <u val="none"/>
        <vertAlign val="baseline"/>
        <sz val="10"/>
        <color auto="1"/>
        <name val="IPA Pゴシック"/>
        <family val="3"/>
        <charset val="128"/>
        <scheme val="none"/>
      </font>
      <numFmt numFmtId="30" formatCode="@"/>
      <fill>
        <patternFill patternType="solid">
          <fgColor indexed="64"/>
          <bgColor rgb="FFFFFF0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IPA Pゴシック"/>
        <family val="3"/>
        <charset val="128"/>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IPA Pゴシック"/>
        <family val="3"/>
        <charset val="128"/>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IPA Pゴシック"/>
        <family val="3"/>
        <charset val="128"/>
        <scheme val="none"/>
      </font>
      <numFmt numFmtId="0" formatCode="Genera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0"/>
        <name val="IPA Pゴシック"/>
        <family val="3"/>
        <charset val="128"/>
        <scheme val="none"/>
      </font>
      <alignment horizontal="left" vertical="center" textRotation="0" indent="0" justifyLastLine="0" readingOrder="0"/>
    </dxf>
    <dxf>
      <border outline="0">
        <bottom style="thin">
          <color indexed="64"/>
        </bottom>
      </border>
    </dxf>
    <dxf>
      <font>
        <b/>
        <i val="0"/>
        <strike val="0"/>
        <condense val="0"/>
        <extend val="0"/>
        <outline val="0"/>
        <shadow val="0"/>
        <u val="none"/>
        <vertAlign val="baseline"/>
        <sz val="11"/>
        <color auto="1"/>
        <name val="IPA Pゴシック"/>
        <family val="3"/>
        <charset val="128"/>
        <scheme val="none"/>
      </font>
      <fill>
        <patternFill patternType="solid">
          <fgColor indexed="64"/>
          <bgColor theme="9" tint="0.59999389629810485"/>
        </patternFill>
      </fill>
      <alignment horizontal="center" vertical="center" textRotation="0" wrapText="1" indent="0" justifyLastLine="0" shrinkToFit="1" readingOrder="0"/>
      <border diagonalUp="0" diagonalDown="0" outline="0">
        <left style="thin">
          <color indexed="64"/>
        </left>
        <right style="thin">
          <color indexed="64"/>
        </right>
        <top/>
        <bottom/>
      </border>
    </dxf>
    <dxf>
      <fill>
        <patternFill>
          <bgColor theme="5" tint="0.39994506668294322"/>
        </patternFill>
      </fill>
    </dxf>
    <dxf>
      <fill>
        <patternFill>
          <bgColor theme="5" tint="0.39994506668294322"/>
        </patternFill>
      </fill>
    </dxf>
    <dxf>
      <fill>
        <patternFill>
          <bgColor theme="5" tint="0.39994506668294322"/>
        </patternFill>
      </fill>
    </dxf>
    <dxf>
      <font>
        <strike val="0"/>
        <outline val="0"/>
        <shadow val="0"/>
        <vertAlign val="baseline"/>
        <sz val="10"/>
        <name val="IPA Pゴシック"/>
        <family val="3"/>
        <charset val="128"/>
        <scheme val="none"/>
      </font>
      <numFmt numFmtId="0" formatCode="General"/>
      <fill>
        <patternFill patternType="none">
          <fgColor indexed="64"/>
          <bgColor indexed="65"/>
        </patternFill>
      </fill>
      <alignment horizontal="left" vertical="center" textRotation="0" wrapText="1" indent="0" justifyLastLine="0" shrinkToFit="1" readingOrder="0"/>
      <border diagonalUp="0" diagonalDown="0" outline="0">
        <left style="thin">
          <color indexed="64"/>
        </left>
        <right/>
        <top style="thin">
          <color indexed="64"/>
        </top>
        <bottom style="thin">
          <color indexed="64"/>
        </bottom>
      </border>
    </dxf>
    <dxf>
      <font>
        <strike val="0"/>
        <outline val="0"/>
        <shadow val="0"/>
        <vertAlign val="baseline"/>
        <sz val="10"/>
        <name val="IPA Pゴシック"/>
        <family val="3"/>
        <charset val="128"/>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name val="IPA Pゴシック"/>
        <family val="3"/>
        <charset val="128"/>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IPA Pゴシック"/>
        <family val="3"/>
        <charset val="128"/>
        <scheme val="none"/>
      </font>
      <numFmt numFmtId="0" formatCode="General"/>
      <fill>
        <patternFill patternType="none">
          <fgColor indexed="64"/>
          <bgColor indexed="65"/>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name val="IPA Pゴシック"/>
        <family val="3"/>
        <charset val="128"/>
        <scheme val="none"/>
      </font>
      <numFmt numFmtId="0" formatCode="Genera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IPA Pゴシック"/>
        <family val="3"/>
        <charset val="128"/>
        <scheme val="none"/>
      </font>
      <numFmt numFmtId="0" formatCode="Genera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vertAlign val="baseline"/>
        <sz val="10"/>
        <name val="IPA Pゴシック"/>
        <family val="3"/>
        <charset val="128"/>
        <scheme val="none"/>
      </font>
      <alignment horizontal="left" textRotation="0" wrapText="0" indent="0" justifyLastLine="0" readingOrder="0"/>
    </dxf>
    <dxf>
      <border outline="0">
        <bottom style="thin">
          <color rgb="FF000000"/>
        </bottom>
      </border>
    </dxf>
    <dxf>
      <font>
        <strike val="0"/>
        <outline val="0"/>
        <shadow val="0"/>
        <u val="none"/>
        <vertAlign val="baseline"/>
        <sz val="11"/>
        <color auto="1"/>
        <name val="IPA Pゴシック"/>
        <family val="3"/>
        <charset val="128"/>
        <scheme val="none"/>
      </font>
    </dxf>
    <dxf>
      <font>
        <b val="0"/>
        <i val="0"/>
        <strike val="0"/>
        <condense val="0"/>
        <extend val="0"/>
        <outline val="0"/>
        <shadow val="0"/>
        <u val="none"/>
        <vertAlign val="baseline"/>
        <sz val="11"/>
        <color theme="1"/>
        <name val="IPA Pゴシック"/>
        <family val="3"/>
        <charset val="128"/>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IPA Pゴシック"/>
        <family val="3"/>
        <charset val="128"/>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protection locked="0" hidden="0"/>
    </dxf>
    <dxf>
      <border outline="0">
        <bottom style="thin">
          <color indexed="64"/>
        </bottom>
      </border>
    </dxf>
    <dxf>
      <font>
        <b/>
        <i val="0"/>
        <strike val="0"/>
        <condense val="0"/>
        <extend val="0"/>
        <outline val="0"/>
        <shadow val="0"/>
        <u val="none"/>
        <vertAlign val="baseline"/>
        <sz val="11"/>
        <color auto="1"/>
        <name val="IPA Pゴシック"/>
        <family val="3"/>
        <charset val="128"/>
        <scheme val="none"/>
      </font>
      <fill>
        <patternFill patternType="solid">
          <fgColor indexed="64"/>
          <bgColor theme="8" tint="0.59999389629810485"/>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IPA Pゴシック"/>
        <family val="3"/>
        <charset val="128"/>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IPA Pゴシック"/>
        <family val="3"/>
        <charset val="128"/>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IPA Pゴシック"/>
        <family val="3"/>
        <charset val="128"/>
        <scheme val="none"/>
      </font>
      <fill>
        <patternFill patternType="solid">
          <fgColor indexed="64"/>
          <bgColor theme="8" tint="0.59999389629810485"/>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IPA Pゴシック"/>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IPA Pゴシック"/>
        <family val="3"/>
        <charset val="128"/>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name val="IPA Pゴシック"/>
        <family val="3"/>
        <charset val="128"/>
        <scheme val="none"/>
      </font>
      <protection locked="1" hidden="0"/>
    </dxf>
    <dxf>
      <border>
        <bottom style="thin">
          <color indexed="64"/>
        </bottom>
      </border>
    </dxf>
    <dxf>
      <font>
        <strike val="0"/>
        <outline val="0"/>
        <shadow val="0"/>
        <u val="none"/>
        <vertAlign val="baseline"/>
        <color auto="1"/>
        <name val="IPA Pゴシック"/>
        <family val="3"/>
        <charset val="128"/>
        <scheme val="none"/>
      </font>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IPA Pゴシック"/>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IPA Pゴシック"/>
        <family val="3"/>
        <charset val="128"/>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2"/>
        <color auto="1"/>
        <name val="IPA Pゴシック"/>
        <family val="3"/>
        <charset val="128"/>
        <scheme val="none"/>
      </font>
      <fill>
        <patternFill patternType="solid">
          <fgColor indexed="64"/>
          <bgColor theme="8" tint="0.59999389629810485"/>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IPA Pゴシック"/>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IPA Pゴシック"/>
        <family val="3"/>
        <charset val="128"/>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IPA Pゴシック"/>
        <family val="3"/>
        <charset val="128"/>
        <scheme val="none"/>
      </font>
    </dxf>
    <dxf>
      <border>
        <bottom style="thin">
          <color indexed="64"/>
        </bottom>
      </border>
    </dxf>
    <dxf>
      <font>
        <strike val="0"/>
        <outline val="0"/>
        <shadow val="0"/>
        <u val="none"/>
        <vertAlign val="baseline"/>
        <sz val="12"/>
        <color auto="1"/>
        <name val="IPA Pゴシック"/>
        <family val="3"/>
        <charset val="128"/>
        <scheme val="none"/>
      </font>
      <fill>
        <patternFill patternType="solid">
          <fgColor indexed="64"/>
          <bgColor theme="8" tint="0.59999389629810485"/>
        </patternFill>
      </fill>
      <border diagonalUp="0" diagonalDown="0">
        <left style="thin">
          <color indexed="64"/>
        </left>
        <right style="thin">
          <color indexed="64"/>
        </right>
        <top/>
        <bottom/>
        <vertical style="thin">
          <color indexed="64"/>
        </vertical>
        <horizontal style="thin">
          <color indexed="64"/>
        </horizontal>
      </border>
    </dxf>
    <dxf>
      <font>
        <strike val="0"/>
        <outline val="0"/>
        <shadow val="0"/>
        <vertAlign val="baseline"/>
        <sz val="11"/>
        <name val="IPA Pゴシック"/>
        <family val="3"/>
        <charset val="128"/>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i val="0"/>
        <strike val="0"/>
        <outline val="0"/>
        <shadow val="0"/>
        <u/>
        <vertAlign val="baseline"/>
        <sz val="10"/>
        <color theme="10"/>
        <name val="IPA Pゴシック"/>
        <family val="3"/>
        <charset val="128"/>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IPA Pゴシック"/>
        <family val="3"/>
        <charset val="128"/>
        <scheme val="none"/>
      </font>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IPA Pゴシック"/>
        <family val="3"/>
        <charset val="128"/>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1"/>
        <name val="IPA Pゴシック"/>
        <family val="3"/>
        <charset val="128"/>
        <scheme val="none"/>
      </font>
    </dxf>
    <dxf>
      <border outline="0">
        <bottom style="thin">
          <color indexed="64"/>
        </bottom>
      </border>
    </dxf>
    <dxf>
      <font>
        <b/>
        <i val="0"/>
        <strike val="0"/>
        <condense val="0"/>
        <extend val="0"/>
        <outline val="0"/>
        <shadow val="0"/>
        <u val="none"/>
        <vertAlign val="baseline"/>
        <sz val="11"/>
        <color theme="1"/>
        <name val="IPA Pゴシック"/>
        <family val="3"/>
        <charset val="128"/>
        <scheme val="none"/>
      </font>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vertAlign val="baseline"/>
        <sz val="11"/>
        <name val="IPA Pゴシック"/>
        <family val="3"/>
        <charset val="128"/>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ertAlign val="baseline"/>
        <sz val="10"/>
        <color theme="10"/>
        <name val="IPA Pゴシック"/>
        <family val="3"/>
        <charset val="128"/>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IPA Pゴシック"/>
        <family val="3"/>
        <charset val="128"/>
        <scheme val="none"/>
      </font>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IPA Pゴシック"/>
        <family val="3"/>
        <charset val="128"/>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1"/>
        <name val="IPA Pゴシック"/>
        <family val="3"/>
        <charset val="128"/>
        <scheme val="none"/>
      </font>
    </dxf>
    <dxf>
      <border outline="0">
        <bottom style="thin">
          <color indexed="64"/>
        </bottom>
      </border>
    </dxf>
    <dxf>
      <font>
        <b/>
        <i val="0"/>
        <strike val="0"/>
        <condense val="0"/>
        <extend val="0"/>
        <outline val="0"/>
        <shadow val="0"/>
        <u val="none"/>
        <vertAlign val="baseline"/>
        <sz val="11"/>
        <color theme="1"/>
        <name val="IPA Pゴシック"/>
        <family val="3"/>
        <charset val="128"/>
        <scheme val="none"/>
      </font>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vertAlign val="baseline"/>
        <sz val="11"/>
        <name val="IPA Pゴシック"/>
        <family val="3"/>
        <charset val="128"/>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i val="0"/>
        <strike val="0"/>
        <outline val="0"/>
        <shadow val="0"/>
        <u val="none"/>
        <vertAlign val="baseline"/>
        <sz val="10"/>
        <color auto="1"/>
        <name val="IPA Pゴシック"/>
        <family val="3"/>
        <charset val="128"/>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IPA Pゴシック"/>
        <family val="3"/>
        <charset val="128"/>
        <scheme val="none"/>
      </font>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IPA Pゴシック"/>
        <family val="3"/>
        <charset val="128"/>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1"/>
        <name val="IPA Pゴシック"/>
        <family val="3"/>
        <charset val="128"/>
        <scheme val="none"/>
      </font>
    </dxf>
    <dxf>
      <border outline="0">
        <bottom style="thin">
          <color indexed="64"/>
        </bottom>
      </border>
    </dxf>
    <dxf>
      <font>
        <b/>
        <i val="0"/>
        <strike val="0"/>
        <condense val="0"/>
        <extend val="0"/>
        <outline val="0"/>
        <shadow val="0"/>
        <u val="none"/>
        <vertAlign val="baseline"/>
        <sz val="11"/>
        <color theme="1"/>
        <name val="IPA Pゴシック"/>
        <family val="3"/>
        <charset val="128"/>
        <scheme val="none"/>
      </font>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vertAlign val="baseline"/>
        <sz val="11"/>
        <name val="IPA Pゴシック"/>
        <family val="3"/>
        <charset val="128"/>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IPA 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IPA Pゴシック"/>
        <family val="3"/>
        <charset val="128"/>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IPA Pゴシック"/>
        <family val="3"/>
        <charset val="128"/>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indexed="64"/>
        </right>
        <top style="thin">
          <color indexed="64"/>
        </top>
        <bottom style="thin">
          <color indexed="64"/>
        </bottom>
      </border>
    </dxf>
    <dxf>
      <font>
        <strike val="0"/>
        <outline val="0"/>
        <shadow val="0"/>
        <vertAlign val="baseline"/>
        <sz val="11"/>
        <name val="IPA Pゴシック"/>
        <family val="3"/>
        <charset val="128"/>
        <scheme val="none"/>
      </font>
      <alignment textRotation="0" justifyLastLine="0" shrinkToFit="0" readingOrder="0"/>
    </dxf>
    <dxf>
      <border outline="0">
        <bottom style="thin">
          <color indexed="64"/>
        </bottom>
      </border>
    </dxf>
    <dxf>
      <font>
        <b/>
        <i val="0"/>
        <strike val="0"/>
        <condense val="0"/>
        <extend val="0"/>
        <outline val="0"/>
        <shadow val="0"/>
        <u val="none"/>
        <vertAlign val="baseline"/>
        <sz val="11"/>
        <color auto="1"/>
        <name val="IPA Pゴシック"/>
        <family val="3"/>
        <charset val="128"/>
        <scheme val="none"/>
      </font>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b val="0"/>
        <i val="0"/>
        <strike val="0"/>
        <condense val="0"/>
        <extend val="0"/>
        <outline val="0"/>
        <shadow val="0"/>
        <u val="none"/>
        <vertAlign val="baseline"/>
        <sz val="10"/>
        <color theme="1"/>
        <name val="IPA Pゴシック"/>
        <family val="3"/>
        <charset val="128"/>
        <scheme val="none"/>
      </font>
      <numFmt numFmtId="0" formatCode="General"/>
      <fill>
        <patternFill patternType="none">
          <fgColor indexed="64"/>
          <bgColor indexed="65"/>
        </patternFill>
      </fill>
      <alignment horizontal="left" vertical="center" textRotation="0" wrapText="1" indent="0" justifyLastLine="0" shrinkToFit="1"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IPA Pゴシック"/>
        <family val="3"/>
        <charset val="128"/>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IPA Pゴシック"/>
        <family val="3"/>
        <charset val="128"/>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IPA Pゴシック"/>
        <family val="3"/>
        <charset val="128"/>
        <scheme val="none"/>
      </font>
      <numFmt numFmtId="0" formatCode="General"/>
      <fill>
        <patternFill patternType="none">
          <fgColor indexed="64"/>
          <bgColor indexed="65"/>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IPA Pゴシック"/>
        <family val="3"/>
        <charset val="128"/>
        <scheme val="none"/>
      </font>
      <numFmt numFmtId="0" formatCode="Genera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IPA Pゴシック"/>
        <family val="3"/>
        <charset val="128"/>
        <scheme val="none"/>
      </font>
      <numFmt numFmtId="0" formatCode="Genera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IPA Pゴシック"/>
        <family val="3"/>
        <charset val="128"/>
        <scheme val="none"/>
      </font>
      <alignment horizontal="left" textRotation="0" indent="0" justifyLastLine="0" readingOrder="0"/>
    </dxf>
    <dxf>
      <border>
        <bottom style="thin">
          <color indexed="64"/>
        </bottom>
      </border>
    </dxf>
    <dxf>
      <font>
        <strike val="0"/>
        <outline val="0"/>
        <shadow val="0"/>
        <u val="none"/>
        <vertAlign val="baseline"/>
        <sz val="11"/>
        <color auto="1"/>
        <name val="IPA Pゴシック"/>
        <family val="3"/>
        <charset val="128"/>
        <scheme val="none"/>
      </font>
      <border diagonalUp="0" diagonalDown="0" outline="0">
        <left style="thin">
          <color indexed="64"/>
        </left>
        <right style="thin">
          <color indexed="64"/>
        </right>
        <top/>
        <bottom/>
      </border>
    </dxf>
  </dxfs>
  <tableStyles count="0" defaultTableStyle="TableStyleMedium2" defaultPivotStyle="PivotStyleLight16"/>
  <colors>
    <mruColors>
      <color rgb="FFFEF79A"/>
      <color rgb="FFF7F99F"/>
      <color rgb="FFFF9999"/>
      <color rgb="FFFFEECD"/>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iagrams/colors1.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5_5">
  <dgm:title val=""/>
  <dgm:desc val=""/>
  <dgm:catLst>
    <dgm:cat type="accent5" pri="11500"/>
  </dgm:catLst>
  <dgm:styleLbl name="node0">
    <dgm:fillClrLst meth="cycle">
      <a:schemeClr val="accent5">
        <a:alpha val="80000"/>
      </a:schemeClr>
    </dgm:fillClrLst>
    <dgm:linClrLst meth="repeat">
      <a:schemeClr val="lt1"/>
    </dgm:linClrLst>
    <dgm:effectClrLst/>
    <dgm:txLinClrLst/>
    <dgm:txFillClrLst/>
    <dgm:txEffectClrLst/>
  </dgm:styleLbl>
  <dgm:styleLbl name="node1">
    <dgm:fillClrLst>
      <a:schemeClr val="accent5">
        <a:alpha val="90000"/>
      </a:schemeClr>
      <a:schemeClr val="accent5">
        <a:alpha val="50000"/>
      </a:schemeClr>
    </dgm:fillClrLst>
    <dgm:linClrLst meth="repeat">
      <a:schemeClr val="lt1"/>
    </dgm:linClrLst>
    <dgm:effectClrLst/>
    <dgm:txLinClrLst/>
    <dgm:txFillClrLst/>
    <dgm:txEffectClrLst/>
  </dgm:styleLbl>
  <dgm:styleLbl name="alignNode1">
    <dgm:fillClrLst>
      <a:schemeClr val="accent5">
        <a:alpha val="90000"/>
      </a:schemeClr>
      <a:schemeClr val="accent5">
        <a:alpha val="50000"/>
      </a:schemeClr>
    </dgm:fillClrLst>
    <dgm:linClrLst>
      <a:schemeClr val="accent5">
        <a:alpha val="90000"/>
      </a:schemeClr>
      <a:schemeClr val="accent5">
        <a:alpha val="50000"/>
      </a:schemeClr>
    </dgm:linClrLst>
    <dgm:effectClrLst/>
    <dgm:txLinClrLst/>
    <dgm:txFillClrLst/>
    <dgm:txEffectClrLst/>
  </dgm:styleLbl>
  <dgm:styleLbl name="lnNode1">
    <dgm:fillClrLst>
      <a:schemeClr val="accent5">
        <a:shade val="90000"/>
      </a:schemeClr>
      <a:schemeClr val="accent5">
        <a:alpha val="50000"/>
        <a:tint val="50000"/>
      </a:schemeClr>
    </dgm:fillClrLst>
    <dgm:linClrLst meth="repeat">
      <a:schemeClr val="lt1"/>
    </dgm:linClrLst>
    <dgm:effectClrLst/>
    <dgm:txLinClrLst/>
    <dgm:txFillClrLst/>
    <dgm:txEffectClrLst/>
  </dgm:styleLbl>
  <dgm:styleLbl name="vennNode1">
    <dgm:fillClrLst>
      <a:schemeClr val="accent5">
        <a:shade val="80000"/>
        <a:alpha val="50000"/>
      </a:schemeClr>
      <a:schemeClr val="accent5">
        <a:alpha val="20000"/>
      </a:schemeClr>
    </dgm:fillClrLst>
    <dgm:linClrLst meth="repeat">
      <a:schemeClr val="lt1"/>
    </dgm:linClrLst>
    <dgm:effectClrLst/>
    <dgm:txLinClrLst/>
    <dgm:txFillClrLst/>
    <dgm:txEffectClrLst/>
  </dgm:styleLbl>
  <dgm:styleLbl name="node2">
    <dgm:fillClrLst>
      <a:schemeClr val="accent5">
        <a:alpha val="70000"/>
      </a:schemeClr>
    </dgm:fillClrLst>
    <dgm:linClrLst meth="repeat">
      <a:schemeClr val="lt1"/>
    </dgm:linClrLst>
    <dgm:effectClrLst/>
    <dgm:txLinClrLst/>
    <dgm:txFillClrLst/>
    <dgm:txEffectClrLst/>
  </dgm:styleLbl>
  <dgm:styleLbl name="node3">
    <dgm:fillClrLst>
      <a:schemeClr val="accent5">
        <a:alpha val="50000"/>
      </a:schemeClr>
    </dgm:fillClrLst>
    <dgm:linClrLst meth="repeat">
      <a:schemeClr val="lt1"/>
    </dgm:linClrLst>
    <dgm:effectClrLst/>
    <dgm:txLinClrLst/>
    <dgm:txFillClrLst/>
    <dgm:txEffectClrLst/>
  </dgm:styleLbl>
  <dgm:styleLbl name="node4">
    <dgm:fillClrLst>
      <a:schemeClr val="accent5">
        <a:alpha val="30000"/>
      </a:schemeClr>
    </dgm:fillClrLst>
    <dgm:linClrLst meth="repeat">
      <a:schemeClr val="lt1"/>
    </dgm:linClrLst>
    <dgm:effectClrLst/>
    <dgm:txLinClrLst/>
    <dgm:txFillClrLst/>
    <dgm:txEffectClrLst/>
  </dgm:styleLbl>
  <dgm:styleLbl name="fgImgPlace1">
    <dgm:fillClrLst>
      <a:schemeClr val="accent5">
        <a:tint val="50000"/>
        <a:alpha val="90000"/>
      </a:schemeClr>
      <a:schemeClr val="accent5">
        <a:tint val="20000"/>
        <a:alpha val="5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hade val="90000"/>
      </a:schemeClr>
      <a:schemeClr val="accent5">
        <a:tint val="50000"/>
      </a:schemeClr>
    </dgm:fillClrLst>
    <dgm:linClrLst>
      <a:schemeClr val="accent5">
        <a:shade val="90000"/>
      </a:schemeClr>
      <a:schemeClr val="accent5">
        <a:tint val="50000"/>
      </a:schemeClr>
    </dgm:linClrLst>
    <dgm:effectClrLst/>
    <dgm:txLinClrLst/>
    <dgm:txFillClrLst/>
    <dgm:txEffectClrLst/>
  </dgm:styleLbl>
  <dgm:styleLbl name="fgSibTrans2D1">
    <dgm:fillClrLst>
      <a:schemeClr val="accent5">
        <a:shade val="90000"/>
      </a:schemeClr>
      <a:schemeClr val="accent5">
        <a:tint val="50000"/>
      </a:schemeClr>
    </dgm:fillClrLst>
    <dgm:linClrLst>
      <a:schemeClr val="accent5">
        <a:shade val="90000"/>
      </a:schemeClr>
      <a:schemeClr val="accent5">
        <a:tint val="50000"/>
      </a:schemeClr>
    </dgm:linClrLst>
    <dgm:effectClrLst/>
    <dgm:txLinClrLst/>
    <dgm:txFillClrLst/>
    <dgm:txEffectClrLst/>
  </dgm:styleLbl>
  <dgm:styleLbl name="bgSibTrans2D1">
    <dgm:fillClrLst>
      <a:schemeClr val="accent5">
        <a:shade val="90000"/>
      </a:schemeClr>
      <a:schemeClr val="accent5">
        <a:tint val="50000"/>
      </a:schemeClr>
    </dgm:fillClrLst>
    <dgm:linClrLst>
      <a:schemeClr val="accent5">
        <a:shade val="90000"/>
      </a:schemeClr>
      <a:schemeClr val="accent5">
        <a:tint val="50000"/>
      </a:schemeClr>
    </dgm:linClrLst>
    <dgm:effectClrLst/>
    <dgm:txLinClrLst/>
    <dgm:txFillClrLst/>
    <dgm:txEffectClrLst/>
  </dgm:styleLbl>
  <dgm:styleLbl name="sibTrans1D1">
    <dgm:fillClrLst>
      <a:schemeClr val="accent5">
        <a:shade val="90000"/>
      </a:schemeClr>
      <a:schemeClr val="accent5">
        <a:tint val="50000"/>
      </a:schemeClr>
    </dgm:fillClrLst>
    <dgm:linClrLst>
      <a:schemeClr val="accent5">
        <a:shade val="90000"/>
      </a:schemeClr>
      <a:schemeClr val="accent5">
        <a:tint val="50000"/>
      </a:schemeClr>
    </dgm:linClrLst>
    <dgm:effectClrLst/>
    <dgm:txLinClrLst/>
    <dgm:txFillClrLst meth="repeat">
      <a:schemeClr val="tx1"/>
    </dgm:txFillClrLst>
    <dgm:txEffectClrLst/>
  </dgm:styleLbl>
  <dgm:styleLbl name="callout">
    <dgm:fillClrLst meth="repeat">
      <a:schemeClr val="accent5"/>
    </dgm:fillClrLst>
    <dgm:linClrLst meth="repeat">
      <a:schemeClr val="accent5"/>
    </dgm:linClrLst>
    <dgm:effectClrLst/>
    <dgm:txLinClrLst/>
    <dgm:txFillClrLst meth="repeat">
      <a:schemeClr val="tx1"/>
    </dgm:txFillClrLst>
    <dgm:txEffectClrLst/>
  </dgm:styleLbl>
  <dgm:styleLbl name="asst0">
    <dgm:fillClrLst meth="repeat">
      <a:schemeClr val="accent5">
        <a:alpha val="90000"/>
      </a:schemeClr>
    </dgm:fillClrLst>
    <dgm:linClrLst meth="repeat">
      <a:schemeClr val="lt1"/>
    </dgm:linClrLst>
    <dgm:effectClrLst/>
    <dgm:txLinClrLst/>
    <dgm:txFillClrLst/>
    <dgm:txEffectClrLst/>
  </dgm:styleLbl>
  <dgm:styleLbl name="asst1">
    <dgm:fillClrLst meth="repeat">
      <a:schemeClr val="accent5">
        <a:alpha val="90000"/>
      </a:schemeClr>
    </dgm:fillClrLst>
    <dgm:linClrLst meth="repeat">
      <a:schemeClr val="lt1"/>
    </dgm:linClrLst>
    <dgm:effectClrLst/>
    <dgm:txLinClrLst/>
    <dgm:txFillClrLst/>
    <dgm:txEffectClrLst/>
  </dgm:styleLbl>
  <dgm:styleLbl name="asst2">
    <dgm:fillClrLst>
      <a:schemeClr val="accent5">
        <a:alpha val="90000"/>
      </a:schemeClr>
    </dgm:fillClrLst>
    <dgm:linClrLst meth="repeat">
      <a:schemeClr val="lt1"/>
    </dgm:linClrLst>
    <dgm:effectClrLst/>
    <dgm:txLinClrLst/>
    <dgm:txFillClrLst/>
    <dgm:txEffectClrLst/>
  </dgm:styleLbl>
  <dgm:styleLbl name="asst3">
    <dgm:fillClrLst>
      <a:schemeClr val="accent5">
        <a:alpha val="70000"/>
      </a:schemeClr>
    </dgm:fillClrLst>
    <dgm:linClrLst meth="repeat">
      <a:schemeClr val="lt1"/>
    </dgm:linClrLst>
    <dgm:effectClrLst/>
    <dgm:txLinClrLst/>
    <dgm:txFillClrLst/>
    <dgm:txEffectClrLst/>
  </dgm:styleLbl>
  <dgm:styleLbl name="asst4">
    <dgm:fillClrLst>
      <a:schemeClr val="accent5">
        <a:alpha val="50000"/>
      </a:schemeClr>
    </dgm:fillClrLst>
    <dgm:linClrLst meth="repeat">
      <a:schemeClr val="lt1"/>
    </dgm:linClrLst>
    <dgm:effectClrLst/>
    <dgm:txLinClrLst/>
    <dgm:txFillClrLst/>
    <dgm:txEffectClrLst/>
  </dgm:styleLbl>
  <dgm:styleLbl name="parChTrans2D1">
    <dgm:fillClrLst meth="repeat">
      <a:schemeClr val="accent5">
        <a:shade val="80000"/>
      </a:schemeClr>
    </dgm:fillClrLst>
    <dgm:linClrLst meth="repeat">
      <a:schemeClr val="accent5">
        <a:shade val="80000"/>
      </a:schemeClr>
    </dgm:linClrLst>
    <dgm:effectClrLst/>
    <dgm:txLinClrLst/>
    <dgm:txFillClrLst/>
    <dgm:txEffectClrLst/>
  </dgm:styleLbl>
  <dgm:styleLbl name="parChTrans2D2">
    <dgm:fillClrLst meth="repeat">
      <a:schemeClr val="accent5">
        <a:tint val="90000"/>
      </a:schemeClr>
    </dgm:fillClrLst>
    <dgm:linClrLst meth="repeat">
      <a:schemeClr val="accent5">
        <a:tint val="90000"/>
      </a:schemeClr>
    </dgm:linClrLst>
    <dgm:effectClrLst/>
    <dgm:txLinClrLst/>
    <dgm:txFillClrLst/>
    <dgm:txEffectClrLst/>
  </dgm:styleLbl>
  <dgm:styleLbl name="parChTrans2D3">
    <dgm:fillClrLst meth="repeat">
      <a:schemeClr val="accent5">
        <a:tint val="70000"/>
      </a:schemeClr>
    </dgm:fillClrLst>
    <dgm:linClrLst meth="repeat">
      <a:schemeClr val="accent5">
        <a:tint val="70000"/>
      </a:schemeClr>
    </dgm:linClrLst>
    <dgm:effectClrLst/>
    <dgm:txLinClrLst/>
    <dgm:txFillClrLst/>
    <dgm:txEffectClrLst/>
  </dgm:styleLbl>
  <dgm:styleLbl name="parChTrans2D4">
    <dgm:fillClrLst meth="repeat">
      <a:schemeClr val="accent5">
        <a:tint val="50000"/>
      </a:schemeClr>
    </dgm:fillClrLst>
    <dgm:linClrLst meth="repeat">
      <a:schemeClr val="accent5">
        <a:tint val="50000"/>
      </a:schemeClr>
    </dgm:linClrLst>
    <dgm:effectClrLst/>
    <dgm:txLinClrLst/>
    <dgm:txFillClrLst meth="repeat">
      <a:schemeClr val="dk1"/>
    </dgm:txFillClrLst>
    <dgm:txEffectClrLst/>
  </dgm:styleLbl>
  <dgm:styleLbl name="parChTrans1D1">
    <dgm:fillClrLst meth="repeat">
      <a:schemeClr val="accent5">
        <a:shade val="80000"/>
      </a:schemeClr>
    </dgm:fillClrLst>
    <dgm:linClrLst meth="repeat">
      <a:schemeClr val="accent5">
        <a:shade val="80000"/>
      </a:schemeClr>
    </dgm:linClrLst>
    <dgm:effectClrLst/>
    <dgm:txLinClrLst/>
    <dgm:txFillClrLst meth="repeat">
      <a:schemeClr val="tx1"/>
    </dgm:txFillClrLst>
    <dgm:txEffectClrLst/>
  </dgm:styleLbl>
  <dgm:styleLbl name="parChTrans1D2">
    <dgm:fillClrLst meth="repeat">
      <a:schemeClr val="accent5">
        <a:tint val="90000"/>
      </a:schemeClr>
    </dgm:fillClrLst>
    <dgm:linClrLst meth="repeat">
      <a:schemeClr val="accent5">
        <a:tint val="90000"/>
      </a:schemeClr>
    </dgm:linClrLst>
    <dgm:effectClrLst/>
    <dgm:txLinClrLst/>
    <dgm:txFillClrLst meth="repeat">
      <a:schemeClr val="tx1"/>
    </dgm:txFillClrLst>
    <dgm:txEffectClrLst/>
  </dgm:styleLbl>
  <dgm:styleLbl name="parChTrans1D3">
    <dgm:fillClrLst meth="repeat">
      <a:schemeClr val="accent5">
        <a:tint val="70000"/>
      </a:schemeClr>
    </dgm:fillClrLst>
    <dgm:linClrLst meth="repeat">
      <a:schemeClr val="accent5">
        <a:tint val="70000"/>
      </a:schemeClr>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5">
        <a:tint val="5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5">
        <a:alpha val="90000"/>
      </a:schemeClr>
      <a:schemeClr val="accent5">
        <a:alpha val="5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alpha val="90000"/>
      </a:schemeClr>
      <a:schemeClr val="accent5">
        <a:alpha val="5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alpha val="90000"/>
      </a:schemeClr>
      <a:schemeClr val="accent5">
        <a:alpha val="50000"/>
      </a:schemeClr>
    </dgm:linClrLst>
    <dgm:effectClrLst/>
    <dgm:txLinClrLst/>
    <dgm:txFillClrLst meth="repeat">
      <a:schemeClr val="dk1"/>
    </dgm:txFillClrLst>
    <dgm:txEffectClrLst/>
  </dgm:styleLbl>
  <dgm:styleLbl name="trAlignAcc1">
    <dgm:fillClrLst meth="repeat">
      <a:schemeClr val="lt1">
        <a:alpha val="40000"/>
      </a:schemeClr>
    </dgm:fillClrLst>
    <dgm:linClrLst>
      <a:schemeClr val="accent5">
        <a:alpha val="90000"/>
      </a:schemeClr>
      <a:schemeClr val="accent5">
        <a:alpha val="50000"/>
      </a:schemeClr>
    </dgm:linClrLst>
    <dgm:effectClrLst/>
    <dgm:txLinClrLst/>
    <dgm:txFillClrLst meth="repeat">
      <a:schemeClr val="dk1"/>
    </dgm:txFillClrLst>
    <dgm:txEffectClrLst/>
  </dgm:styleLbl>
  <dgm:styleLbl name="bgAcc1">
    <dgm:fillClrLst meth="repeat">
      <a:schemeClr val="lt1">
        <a:alpha val="90000"/>
      </a:schemeClr>
    </dgm:fillClrLst>
    <dgm:linClrLst>
      <a:schemeClr val="accent5">
        <a:alpha val="90000"/>
      </a:schemeClr>
      <a:schemeClr val="accent5">
        <a:alpha val="50000"/>
      </a:schemeClr>
    </dgm:linClrLst>
    <dgm:effectClrLst/>
    <dgm:txLinClrLst/>
    <dgm:txFillClrLst meth="repeat">
      <a:schemeClr val="dk1"/>
    </dgm:txFillClrLst>
    <dgm:txEffectClrLst/>
  </dgm:styleLbl>
  <dgm:styleLbl name="solidFgAcc1">
    <dgm:fillClrLst meth="repeat">
      <a:schemeClr val="lt1"/>
    </dgm:fillClrLst>
    <dgm:linClrLst>
      <a:schemeClr val="accent5">
        <a:alpha val="90000"/>
      </a:schemeClr>
      <a:schemeClr val="accent5">
        <a:alpha val="5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5"/>
    </dgm:linClrLst>
    <dgm:effectClrLst/>
    <dgm:txLinClrLst/>
    <dgm:txFillClrLst meth="repeat">
      <a:schemeClr val="dk1"/>
    </dgm:txFillClrLst>
    <dgm:txEffectClrLst/>
  </dgm:styleLbl>
  <dgm:styleLbl name="solidBgAcc1">
    <dgm:fillClrLst meth="repeat">
      <a:schemeClr val="lt1"/>
    </dgm:fillClrLst>
    <dgm:linClrLst meth="repeat">
      <a:schemeClr val="accent5"/>
    </dgm:linClrLst>
    <dgm:effectClrLst/>
    <dgm:txLinClrLst/>
    <dgm:txFillClrLst meth="repeat">
      <a:schemeClr val="dk1"/>
    </dgm:txFillClrLst>
    <dgm:txEffectClrLst/>
  </dgm:styleLbl>
  <dgm:styleLbl name="fgAccFollowNode1">
    <dgm:fillClrLst>
      <a:schemeClr val="accent5">
        <a:alpha val="90000"/>
        <a:tint val="40000"/>
      </a:schemeClr>
      <a:schemeClr val="accent5">
        <a:alpha val="5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alignAccFollowNode1">
    <dgm:fillClrLst meth="repeat">
      <a:schemeClr val="accent5">
        <a:alpha val="9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bgAccFollowNode1">
    <dgm:fillClrLst meth="repeat">
      <a:schemeClr val="accent5">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5">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5">
        <a:tint val="90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5">
        <a:tint val="7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5">
        <a:tint val="50000"/>
      </a:schemeClr>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6_5">
  <dgm:title val=""/>
  <dgm:desc val=""/>
  <dgm:catLst>
    <dgm:cat type="accent6" pri="11500"/>
  </dgm:catLst>
  <dgm:styleLbl name="node0">
    <dgm:fillClrLst meth="cycle">
      <a:schemeClr val="accent6">
        <a:alpha val="80000"/>
      </a:schemeClr>
    </dgm:fillClrLst>
    <dgm:linClrLst meth="repeat">
      <a:schemeClr val="lt1"/>
    </dgm:linClrLst>
    <dgm:effectClrLst/>
    <dgm:txLinClrLst/>
    <dgm:txFillClrLst/>
    <dgm:txEffectClrLst/>
  </dgm:styleLbl>
  <dgm:styleLbl name="alignNode1">
    <dgm:fillClrLst>
      <a:schemeClr val="accent6">
        <a:alpha val="90000"/>
      </a:schemeClr>
      <a:schemeClr val="accent6">
        <a:alpha val="50000"/>
      </a:schemeClr>
    </dgm:fillClrLst>
    <dgm:linClrLst>
      <a:schemeClr val="accent6">
        <a:alpha val="90000"/>
      </a:schemeClr>
      <a:schemeClr val="accent6">
        <a:alpha val="50000"/>
      </a:schemeClr>
    </dgm:linClrLst>
    <dgm:effectClrLst/>
    <dgm:txLinClrLst/>
    <dgm:txFillClrLst/>
    <dgm:txEffectClrLst/>
  </dgm:styleLbl>
  <dgm:styleLbl name="node1">
    <dgm:fillClrLst>
      <a:schemeClr val="accent6">
        <a:alpha val="90000"/>
      </a:schemeClr>
      <a:schemeClr val="accent6">
        <a:alpha val="50000"/>
      </a:schemeClr>
    </dgm:fillClrLst>
    <dgm:linClrLst meth="repeat">
      <a:schemeClr val="lt1"/>
    </dgm:linClrLst>
    <dgm:effectClrLst/>
    <dgm:txLinClrLst/>
    <dgm:txFillClrLst/>
    <dgm:txEffectClrLst/>
  </dgm:styleLbl>
  <dgm:styleLbl name="lnNode1">
    <dgm:fillClrLst>
      <a:schemeClr val="accent6">
        <a:shade val="90000"/>
      </a:schemeClr>
      <a:schemeClr val="accent6">
        <a:tint val="50000"/>
        <a:alpha val="50000"/>
      </a:schemeClr>
    </dgm:fillClrLst>
    <dgm:linClrLst meth="repeat">
      <a:schemeClr val="lt1"/>
    </dgm:linClrLst>
    <dgm:effectClrLst/>
    <dgm:txLinClrLst/>
    <dgm:txFillClrLst/>
    <dgm:txEffectClrLst/>
  </dgm:styleLbl>
  <dgm:styleLbl name="vennNode1">
    <dgm:fillClrLst>
      <a:schemeClr val="accent6">
        <a:shade val="80000"/>
        <a:alpha val="50000"/>
      </a:schemeClr>
      <a:schemeClr val="accent6">
        <a:alpha val="80000"/>
      </a:schemeClr>
    </dgm:fillClrLst>
    <dgm:linClrLst meth="repeat">
      <a:schemeClr val="lt1"/>
    </dgm:linClrLst>
    <dgm:effectClrLst/>
    <dgm:txLinClrLst/>
    <dgm:txFillClrLst/>
    <dgm:txEffectClrLst/>
  </dgm:styleLbl>
  <dgm:styleLbl name="node2">
    <dgm:fillClrLst>
      <a:schemeClr val="accent6">
        <a:alpha val="70000"/>
      </a:schemeClr>
    </dgm:fillClrLst>
    <dgm:linClrLst meth="repeat">
      <a:schemeClr val="lt1"/>
    </dgm:linClrLst>
    <dgm:effectClrLst/>
    <dgm:txLinClrLst/>
    <dgm:txFillClrLst/>
    <dgm:txEffectClrLst/>
  </dgm:styleLbl>
  <dgm:styleLbl name="node3">
    <dgm:fillClrLst>
      <a:schemeClr val="accent6">
        <a:alpha val="50000"/>
      </a:schemeClr>
    </dgm:fillClrLst>
    <dgm:linClrLst meth="repeat">
      <a:schemeClr val="lt1"/>
    </dgm:linClrLst>
    <dgm:effectClrLst/>
    <dgm:txLinClrLst/>
    <dgm:txFillClrLst/>
    <dgm:txEffectClrLst/>
  </dgm:styleLbl>
  <dgm:styleLbl name="node4">
    <dgm:fillClrLst>
      <a:schemeClr val="accent6">
        <a:alpha val="30000"/>
      </a:schemeClr>
    </dgm:fillClrLst>
    <dgm:linClrLst meth="repeat">
      <a:schemeClr val="lt1"/>
    </dgm:linClrLst>
    <dgm:effectClrLst/>
    <dgm:txLinClrLst/>
    <dgm:txFillClrLst/>
    <dgm:txEffectClrLst/>
  </dgm:styleLbl>
  <dgm:styleLbl name="fgImgPlace1">
    <dgm:fillClrLst>
      <a:schemeClr val="accent6">
        <a:tint val="50000"/>
        <a:alpha val="90000"/>
      </a:schemeClr>
      <a:schemeClr val="accent6">
        <a:tint val="20000"/>
        <a:alpha val="50000"/>
      </a:schemeClr>
    </dgm:fillClrLst>
    <dgm:linClrLst meth="repeat">
      <a:schemeClr val="lt1"/>
    </dgm:linClrLst>
    <dgm:effectClrLst/>
    <dgm:txLinClrLst/>
    <dgm:txFillClrLst meth="repeat">
      <a:schemeClr val="lt1"/>
    </dgm:txFillClrLst>
    <dgm:txEffectClrLst/>
  </dgm:styleLbl>
  <dgm:styleLbl name="alignImgPlace1">
    <dgm:fillClrLst>
      <a:schemeClr val="accent6">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6">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6">
        <a:shade val="90000"/>
      </a:schemeClr>
      <a:schemeClr val="accent6">
        <a:tint val="50000"/>
      </a:schemeClr>
    </dgm:fillClrLst>
    <dgm:linClrLst>
      <a:schemeClr val="accent6">
        <a:shade val="90000"/>
      </a:schemeClr>
      <a:schemeClr val="accent6">
        <a:tint val="50000"/>
      </a:schemeClr>
    </dgm:linClrLst>
    <dgm:effectClrLst/>
    <dgm:txLinClrLst/>
    <dgm:txFillClrLst/>
    <dgm:txEffectClrLst/>
  </dgm:styleLbl>
  <dgm:styleLbl name="fgSibTrans2D1">
    <dgm:fillClrLst>
      <a:schemeClr val="accent6">
        <a:shade val="90000"/>
      </a:schemeClr>
      <a:schemeClr val="accent6">
        <a:tint val="50000"/>
      </a:schemeClr>
    </dgm:fillClrLst>
    <dgm:linClrLst>
      <a:schemeClr val="accent6">
        <a:shade val="90000"/>
      </a:schemeClr>
      <a:schemeClr val="accent6">
        <a:tint val="50000"/>
      </a:schemeClr>
    </dgm:linClrLst>
    <dgm:effectClrLst/>
    <dgm:txLinClrLst/>
    <dgm:txFillClrLst/>
    <dgm:txEffectClrLst/>
  </dgm:styleLbl>
  <dgm:styleLbl name="bgSibTrans2D1">
    <dgm:fillClrLst>
      <a:schemeClr val="accent6">
        <a:shade val="90000"/>
      </a:schemeClr>
      <a:schemeClr val="accent6">
        <a:tint val="50000"/>
      </a:schemeClr>
    </dgm:fillClrLst>
    <dgm:linClrLst>
      <a:schemeClr val="accent6">
        <a:shade val="90000"/>
      </a:schemeClr>
      <a:schemeClr val="accent6">
        <a:tint val="50000"/>
      </a:schemeClr>
    </dgm:linClrLst>
    <dgm:effectClrLst/>
    <dgm:txLinClrLst/>
    <dgm:txFillClrLst/>
    <dgm:txEffectClrLst/>
  </dgm:styleLbl>
  <dgm:styleLbl name="sibTrans1D1">
    <dgm:fillClrLst>
      <a:schemeClr val="accent6">
        <a:shade val="90000"/>
      </a:schemeClr>
      <a:schemeClr val="accent6">
        <a:tint val="50000"/>
      </a:schemeClr>
    </dgm:fillClrLst>
    <dgm:linClrLst>
      <a:schemeClr val="accent6">
        <a:shade val="90000"/>
      </a:schemeClr>
      <a:schemeClr val="accent6">
        <a:tint val="50000"/>
      </a:schemeClr>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accent6">
        <a:alpha val="90000"/>
      </a:schemeClr>
    </dgm:fillClrLst>
    <dgm:linClrLst meth="repeat">
      <a:schemeClr val="lt1"/>
    </dgm:linClrLst>
    <dgm:effectClrLst/>
    <dgm:txLinClrLst/>
    <dgm:txFillClrLst/>
    <dgm:txEffectClrLst/>
  </dgm:styleLbl>
  <dgm:styleLbl name="asst1">
    <dgm:fillClrLst meth="repeat">
      <a:schemeClr val="accent6">
        <a:alpha val="90000"/>
      </a:schemeClr>
    </dgm:fillClrLst>
    <dgm:linClrLst meth="repeat">
      <a:schemeClr val="lt1"/>
    </dgm:linClrLst>
    <dgm:effectClrLst/>
    <dgm:txLinClrLst/>
    <dgm:txFillClrLst/>
    <dgm:txEffectClrLst/>
  </dgm:styleLbl>
  <dgm:styleLbl name="asst2">
    <dgm:fillClrLst>
      <a:schemeClr val="accent6">
        <a:alpha val="90000"/>
      </a:schemeClr>
    </dgm:fillClrLst>
    <dgm:linClrLst meth="repeat">
      <a:schemeClr val="lt1"/>
    </dgm:linClrLst>
    <dgm:effectClrLst/>
    <dgm:txLinClrLst/>
    <dgm:txFillClrLst/>
    <dgm:txEffectClrLst/>
  </dgm:styleLbl>
  <dgm:styleLbl name="asst3">
    <dgm:fillClrLst>
      <a:schemeClr val="accent6">
        <a:alpha val="70000"/>
      </a:schemeClr>
    </dgm:fillClrLst>
    <dgm:linClrLst meth="repeat">
      <a:schemeClr val="lt1"/>
    </dgm:linClrLst>
    <dgm:effectClrLst/>
    <dgm:txLinClrLst/>
    <dgm:txFillClrLst/>
    <dgm:txEffectClrLst/>
  </dgm:styleLbl>
  <dgm:styleLbl name="asst4">
    <dgm:fillClrLst>
      <a:schemeClr val="accent6">
        <a:alpha val="50000"/>
      </a:schemeClr>
    </dgm:fillClrLst>
    <dgm:linClrLst meth="repeat">
      <a:schemeClr val="lt1"/>
    </dgm:linClrLst>
    <dgm:effectClrLst/>
    <dgm:txLinClrLst/>
    <dgm:txFillClrLst/>
    <dgm:txEffectClrLst/>
  </dgm:styleLbl>
  <dgm:styleLbl name="parChTrans2D1">
    <dgm:fillClrLst meth="repeat">
      <a:schemeClr val="accent6">
        <a:shade val="80000"/>
      </a:schemeClr>
    </dgm:fillClrLst>
    <dgm:linClrLst meth="repeat">
      <a:schemeClr val="accent6">
        <a:shade val="80000"/>
      </a:schemeClr>
    </dgm:linClrLst>
    <dgm:effectClrLst/>
    <dgm:txLinClrLst/>
    <dgm:txFillClrLst/>
    <dgm:txEffectClrLst/>
  </dgm:styleLbl>
  <dgm:styleLbl name="parChTrans2D2">
    <dgm:fillClrLst meth="repeat">
      <a:schemeClr val="accent6">
        <a:tint val="90000"/>
      </a:schemeClr>
    </dgm:fillClrLst>
    <dgm:linClrLst meth="repeat">
      <a:schemeClr val="accent6">
        <a:tint val="90000"/>
      </a:schemeClr>
    </dgm:linClrLst>
    <dgm:effectClrLst/>
    <dgm:txLinClrLst/>
    <dgm:txFillClrLst/>
    <dgm:txEffectClrLst/>
  </dgm:styleLbl>
  <dgm:styleLbl name="parChTrans2D3">
    <dgm:fillClrLst meth="repeat">
      <a:schemeClr val="accent6">
        <a:tint val="70000"/>
      </a:schemeClr>
    </dgm:fillClrLst>
    <dgm:linClrLst meth="repeat">
      <a:schemeClr val="accent6">
        <a:tint val="70000"/>
      </a:schemeClr>
    </dgm:linClrLst>
    <dgm:effectClrLst/>
    <dgm:txLinClrLst/>
    <dgm:txFillClrLst/>
    <dgm:txEffectClrLst/>
  </dgm:styleLbl>
  <dgm:styleLbl name="parChTrans2D4">
    <dgm:fillClrLst meth="repeat">
      <a:schemeClr val="accent6">
        <a:tint val="50000"/>
      </a:schemeClr>
    </dgm:fillClrLst>
    <dgm:linClrLst meth="repeat">
      <a:schemeClr val="accent6">
        <a:tint val="50000"/>
      </a:schemeClr>
    </dgm:linClrLst>
    <dgm:effectClrLst/>
    <dgm:txLinClrLst/>
    <dgm:txFillClrLst meth="repeat">
      <a:schemeClr val="dk1"/>
    </dgm:txFillClrLst>
    <dgm:txEffectClrLst/>
  </dgm:styleLbl>
  <dgm:styleLbl name="parChTrans1D1">
    <dgm:fillClrLst meth="repeat">
      <a:schemeClr val="accent6">
        <a:shade val="80000"/>
      </a:schemeClr>
    </dgm:fillClrLst>
    <dgm:linClrLst meth="repeat">
      <a:schemeClr val="accent6">
        <a:shade val="80000"/>
      </a:schemeClr>
    </dgm:linClrLst>
    <dgm:effectClrLst/>
    <dgm:txLinClrLst/>
    <dgm:txFillClrLst meth="repeat">
      <a:schemeClr val="tx1"/>
    </dgm:txFillClrLst>
    <dgm:txEffectClrLst/>
  </dgm:styleLbl>
  <dgm:styleLbl name="parChTrans1D2">
    <dgm:fillClrLst meth="repeat">
      <a:schemeClr val="accent6">
        <a:tint val="90000"/>
      </a:schemeClr>
    </dgm:fillClrLst>
    <dgm:linClrLst meth="repeat">
      <a:schemeClr val="accent6">
        <a:tint val="90000"/>
      </a:schemeClr>
    </dgm:linClrLst>
    <dgm:effectClrLst/>
    <dgm:txLinClrLst/>
    <dgm:txFillClrLst meth="repeat">
      <a:schemeClr val="tx1"/>
    </dgm:txFillClrLst>
    <dgm:txEffectClrLst/>
  </dgm:styleLbl>
  <dgm:styleLbl name="parChTrans1D3">
    <dgm:fillClrLst meth="repeat">
      <a:schemeClr val="accent6">
        <a:tint val="70000"/>
      </a:schemeClr>
    </dgm:fillClrLst>
    <dgm:linClrLst meth="repeat">
      <a:schemeClr val="accent6">
        <a:tint val="70000"/>
      </a:schemeClr>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6">
        <a:tint val="5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6">
        <a:alpha val="90000"/>
      </a:schemeClr>
      <a:schemeClr val="accent6">
        <a:alpha val="5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6">
        <a:alpha val="90000"/>
      </a:schemeClr>
      <a:schemeClr val="accent6">
        <a:alpha val="5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6">
        <a:alpha val="90000"/>
      </a:schemeClr>
      <a:schemeClr val="accent6">
        <a:alpha val="50000"/>
      </a:schemeClr>
    </dgm:linClrLst>
    <dgm:effectClrLst/>
    <dgm:txLinClrLst/>
    <dgm:txFillClrLst meth="repeat">
      <a:schemeClr val="dk1"/>
    </dgm:txFillClrLst>
    <dgm:txEffectClrLst/>
  </dgm:styleLbl>
  <dgm:styleLbl name="trAlignAcc1">
    <dgm:fillClrLst meth="repeat">
      <a:schemeClr val="lt1">
        <a:alpha val="40000"/>
      </a:schemeClr>
    </dgm:fillClrLst>
    <dgm:linClrLst>
      <a:schemeClr val="accent6">
        <a:alpha val="90000"/>
      </a:schemeClr>
      <a:schemeClr val="accent6">
        <a:alpha val="50000"/>
      </a:schemeClr>
    </dgm:linClrLst>
    <dgm:effectClrLst/>
    <dgm:txLinClrLst/>
    <dgm:txFillClrLst meth="repeat">
      <a:schemeClr val="dk1"/>
    </dgm:txFillClrLst>
    <dgm:txEffectClrLst/>
  </dgm:styleLbl>
  <dgm:styleLbl name="bgAcc1">
    <dgm:fillClrLst meth="repeat">
      <a:schemeClr val="lt1">
        <a:alpha val="90000"/>
      </a:schemeClr>
    </dgm:fillClrLst>
    <dgm:linClrLst>
      <a:schemeClr val="accent6">
        <a:alpha val="90000"/>
      </a:schemeClr>
      <a:schemeClr val="accent6">
        <a:alpha val="50000"/>
      </a:schemeClr>
    </dgm:linClrLst>
    <dgm:effectClrLst/>
    <dgm:txLinClrLst/>
    <dgm:txFillClrLst meth="repeat">
      <a:schemeClr val="dk1"/>
    </dgm:txFillClrLst>
    <dgm:txEffectClrLst/>
  </dgm:styleLbl>
  <dgm:styleLbl name="solidFgAcc1">
    <dgm:fillClrLst meth="repeat">
      <a:schemeClr val="lt1"/>
    </dgm:fillClrLst>
    <dgm:linClrLst>
      <a:schemeClr val="accent6">
        <a:alpha val="90000"/>
      </a:schemeClr>
      <a:schemeClr val="accent6">
        <a:alpha val="5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a:schemeClr val="accent6">
        <a:alpha val="90000"/>
        <a:tint val="40000"/>
      </a:schemeClr>
      <a:schemeClr val="accent6">
        <a:alpha val="50000"/>
        <a:tint val="40000"/>
      </a:schemeClr>
    </dgm:fillClrLst>
    <dgm:linClrLst meth="repeat">
      <a:schemeClr val="accent6">
        <a:alpha val="90000"/>
        <a:tint val="40000"/>
      </a:schemeClr>
    </dgm:linClrLst>
    <dgm:effectClrLst/>
    <dgm:txLinClrLst/>
    <dgm:txFillClrLst meth="repeat">
      <a:schemeClr val="dk1"/>
    </dgm:txFillClrLst>
    <dgm:txEffectClrLst/>
  </dgm:styleLbl>
  <dgm:styleLbl name="alignAccFollowNode1">
    <dgm:fillClrLst meth="repeat">
      <a:schemeClr val="accent6">
        <a:alpha val="90000"/>
        <a:tint val="40000"/>
      </a:schemeClr>
    </dgm:fillClrLst>
    <dgm:linClrLst meth="repeat">
      <a:schemeClr val="accent6">
        <a:alpha val="90000"/>
        <a:tint val="40000"/>
      </a:schemeClr>
    </dgm:linClrLst>
    <dgm:effectClrLst/>
    <dgm:txLinClrLst/>
    <dgm:txFillClrLst meth="repeat">
      <a:schemeClr val="dk1"/>
    </dgm:txFillClrLst>
    <dgm:txEffectClrLst/>
  </dgm:styleLbl>
  <dgm:styleLbl name="bgAccFollowNode1">
    <dgm:fillClrLst meth="repeat">
      <a:schemeClr val="accent6">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6">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6">
        <a:tint val="90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6">
        <a:tint val="7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6">
        <a:tint val="50000"/>
      </a:schemeClr>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6">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xml><?xml version="1.0" encoding="utf-8"?>
<dgm:colorsDef xmlns:dgm="http://schemas.openxmlformats.org/drawingml/2006/diagram" xmlns:a="http://schemas.openxmlformats.org/drawingml/2006/main" uniqueId="urn:microsoft.com/office/officeart/2005/8/colors/accent5_5">
  <dgm:title val=""/>
  <dgm:desc val=""/>
  <dgm:catLst>
    <dgm:cat type="accent5" pri="11500"/>
  </dgm:catLst>
  <dgm:styleLbl name="node0">
    <dgm:fillClrLst meth="cycle">
      <a:schemeClr val="accent5">
        <a:alpha val="80000"/>
      </a:schemeClr>
    </dgm:fillClrLst>
    <dgm:linClrLst meth="repeat">
      <a:schemeClr val="lt1"/>
    </dgm:linClrLst>
    <dgm:effectClrLst/>
    <dgm:txLinClrLst/>
    <dgm:txFillClrLst/>
    <dgm:txEffectClrLst/>
  </dgm:styleLbl>
  <dgm:styleLbl name="node1">
    <dgm:fillClrLst>
      <a:schemeClr val="accent5">
        <a:alpha val="90000"/>
      </a:schemeClr>
      <a:schemeClr val="accent5">
        <a:alpha val="50000"/>
      </a:schemeClr>
    </dgm:fillClrLst>
    <dgm:linClrLst meth="repeat">
      <a:schemeClr val="lt1"/>
    </dgm:linClrLst>
    <dgm:effectClrLst/>
    <dgm:txLinClrLst/>
    <dgm:txFillClrLst/>
    <dgm:txEffectClrLst/>
  </dgm:styleLbl>
  <dgm:styleLbl name="alignNode1">
    <dgm:fillClrLst>
      <a:schemeClr val="accent5">
        <a:alpha val="90000"/>
      </a:schemeClr>
      <a:schemeClr val="accent5">
        <a:alpha val="50000"/>
      </a:schemeClr>
    </dgm:fillClrLst>
    <dgm:linClrLst>
      <a:schemeClr val="accent5">
        <a:alpha val="90000"/>
      </a:schemeClr>
      <a:schemeClr val="accent5">
        <a:alpha val="50000"/>
      </a:schemeClr>
    </dgm:linClrLst>
    <dgm:effectClrLst/>
    <dgm:txLinClrLst/>
    <dgm:txFillClrLst/>
    <dgm:txEffectClrLst/>
  </dgm:styleLbl>
  <dgm:styleLbl name="lnNode1">
    <dgm:fillClrLst>
      <a:schemeClr val="accent5">
        <a:shade val="90000"/>
      </a:schemeClr>
      <a:schemeClr val="accent5">
        <a:alpha val="50000"/>
        <a:tint val="50000"/>
      </a:schemeClr>
    </dgm:fillClrLst>
    <dgm:linClrLst meth="repeat">
      <a:schemeClr val="lt1"/>
    </dgm:linClrLst>
    <dgm:effectClrLst/>
    <dgm:txLinClrLst/>
    <dgm:txFillClrLst/>
    <dgm:txEffectClrLst/>
  </dgm:styleLbl>
  <dgm:styleLbl name="vennNode1">
    <dgm:fillClrLst>
      <a:schemeClr val="accent5">
        <a:shade val="80000"/>
        <a:alpha val="50000"/>
      </a:schemeClr>
      <a:schemeClr val="accent5">
        <a:alpha val="20000"/>
      </a:schemeClr>
    </dgm:fillClrLst>
    <dgm:linClrLst meth="repeat">
      <a:schemeClr val="lt1"/>
    </dgm:linClrLst>
    <dgm:effectClrLst/>
    <dgm:txLinClrLst/>
    <dgm:txFillClrLst/>
    <dgm:txEffectClrLst/>
  </dgm:styleLbl>
  <dgm:styleLbl name="node2">
    <dgm:fillClrLst>
      <a:schemeClr val="accent5">
        <a:alpha val="70000"/>
      </a:schemeClr>
    </dgm:fillClrLst>
    <dgm:linClrLst meth="repeat">
      <a:schemeClr val="lt1"/>
    </dgm:linClrLst>
    <dgm:effectClrLst/>
    <dgm:txLinClrLst/>
    <dgm:txFillClrLst/>
    <dgm:txEffectClrLst/>
  </dgm:styleLbl>
  <dgm:styleLbl name="node3">
    <dgm:fillClrLst>
      <a:schemeClr val="accent5">
        <a:alpha val="50000"/>
      </a:schemeClr>
    </dgm:fillClrLst>
    <dgm:linClrLst meth="repeat">
      <a:schemeClr val="lt1"/>
    </dgm:linClrLst>
    <dgm:effectClrLst/>
    <dgm:txLinClrLst/>
    <dgm:txFillClrLst/>
    <dgm:txEffectClrLst/>
  </dgm:styleLbl>
  <dgm:styleLbl name="node4">
    <dgm:fillClrLst>
      <a:schemeClr val="accent5">
        <a:alpha val="30000"/>
      </a:schemeClr>
    </dgm:fillClrLst>
    <dgm:linClrLst meth="repeat">
      <a:schemeClr val="lt1"/>
    </dgm:linClrLst>
    <dgm:effectClrLst/>
    <dgm:txLinClrLst/>
    <dgm:txFillClrLst/>
    <dgm:txEffectClrLst/>
  </dgm:styleLbl>
  <dgm:styleLbl name="fgImgPlace1">
    <dgm:fillClrLst>
      <a:schemeClr val="accent5">
        <a:tint val="50000"/>
        <a:alpha val="90000"/>
      </a:schemeClr>
      <a:schemeClr val="accent5">
        <a:tint val="20000"/>
        <a:alpha val="5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hade val="90000"/>
      </a:schemeClr>
      <a:schemeClr val="accent5">
        <a:tint val="50000"/>
      </a:schemeClr>
    </dgm:fillClrLst>
    <dgm:linClrLst>
      <a:schemeClr val="accent5">
        <a:shade val="90000"/>
      </a:schemeClr>
      <a:schemeClr val="accent5">
        <a:tint val="50000"/>
      </a:schemeClr>
    </dgm:linClrLst>
    <dgm:effectClrLst/>
    <dgm:txLinClrLst/>
    <dgm:txFillClrLst/>
    <dgm:txEffectClrLst/>
  </dgm:styleLbl>
  <dgm:styleLbl name="fgSibTrans2D1">
    <dgm:fillClrLst>
      <a:schemeClr val="accent5">
        <a:shade val="90000"/>
      </a:schemeClr>
      <a:schemeClr val="accent5">
        <a:tint val="50000"/>
      </a:schemeClr>
    </dgm:fillClrLst>
    <dgm:linClrLst>
      <a:schemeClr val="accent5">
        <a:shade val="90000"/>
      </a:schemeClr>
      <a:schemeClr val="accent5">
        <a:tint val="50000"/>
      </a:schemeClr>
    </dgm:linClrLst>
    <dgm:effectClrLst/>
    <dgm:txLinClrLst/>
    <dgm:txFillClrLst/>
    <dgm:txEffectClrLst/>
  </dgm:styleLbl>
  <dgm:styleLbl name="bgSibTrans2D1">
    <dgm:fillClrLst>
      <a:schemeClr val="accent5">
        <a:shade val="90000"/>
      </a:schemeClr>
      <a:schemeClr val="accent5">
        <a:tint val="50000"/>
      </a:schemeClr>
    </dgm:fillClrLst>
    <dgm:linClrLst>
      <a:schemeClr val="accent5">
        <a:shade val="90000"/>
      </a:schemeClr>
      <a:schemeClr val="accent5">
        <a:tint val="50000"/>
      </a:schemeClr>
    </dgm:linClrLst>
    <dgm:effectClrLst/>
    <dgm:txLinClrLst/>
    <dgm:txFillClrLst/>
    <dgm:txEffectClrLst/>
  </dgm:styleLbl>
  <dgm:styleLbl name="sibTrans1D1">
    <dgm:fillClrLst>
      <a:schemeClr val="accent5">
        <a:shade val="90000"/>
      </a:schemeClr>
      <a:schemeClr val="accent5">
        <a:tint val="50000"/>
      </a:schemeClr>
    </dgm:fillClrLst>
    <dgm:linClrLst>
      <a:schemeClr val="accent5">
        <a:shade val="90000"/>
      </a:schemeClr>
      <a:schemeClr val="accent5">
        <a:tint val="50000"/>
      </a:schemeClr>
    </dgm:linClrLst>
    <dgm:effectClrLst/>
    <dgm:txLinClrLst/>
    <dgm:txFillClrLst meth="repeat">
      <a:schemeClr val="tx1"/>
    </dgm:txFillClrLst>
    <dgm:txEffectClrLst/>
  </dgm:styleLbl>
  <dgm:styleLbl name="callout">
    <dgm:fillClrLst meth="repeat">
      <a:schemeClr val="accent5"/>
    </dgm:fillClrLst>
    <dgm:linClrLst meth="repeat">
      <a:schemeClr val="accent5"/>
    </dgm:linClrLst>
    <dgm:effectClrLst/>
    <dgm:txLinClrLst/>
    <dgm:txFillClrLst meth="repeat">
      <a:schemeClr val="tx1"/>
    </dgm:txFillClrLst>
    <dgm:txEffectClrLst/>
  </dgm:styleLbl>
  <dgm:styleLbl name="asst0">
    <dgm:fillClrLst meth="repeat">
      <a:schemeClr val="accent5">
        <a:alpha val="90000"/>
      </a:schemeClr>
    </dgm:fillClrLst>
    <dgm:linClrLst meth="repeat">
      <a:schemeClr val="lt1"/>
    </dgm:linClrLst>
    <dgm:effectClrLst/>
    <dgm:txLinClrLst/>
    <dgm:txFillClrLst/>
    <dgm:txEffectClrLst/>
  </dgm:styleLbl>
  <dgm:styleLbl name="asst1">
    <dgm:fillClrLst meth="repeat">
      <a:schemeClr val="accent5">
        <a:alpha val="90000"/>
      </a:schemeClr>
    </dgm:fillClrLst>
    <dgm:linClrLst meth="repeat">
      <a:schemeClr val="lt1"/>
    </dgm:linClrLst>
    <dgm:effectClrLst/>
    <dgm:txLinClrLst/>
    <dgm:txFillClrLst/>
    <dgm:txEffectClrLst/>
  </dgm:styleLbl>
  <dgm:styleLbl name="asst2">
    <dgm:fillClrLst>
      <a:schemeClr val="accent5">
        <a:alpha val="90000"/>
      </a:schemeClr>
    </dgm:fillClrLst>
    <dgm:linClrLst meth="repeat">
      <a:schemeClr val="lt1"/>
    </dgm:linClrLst>
    <dgm:effectClrLst/>
    <dgm:txLinClrLst/>
    <dgm:txFillClrLst/>
    <dgm:txEffectClrLst/>
  </dgm:styleLbl>
  <dgm:styleLbl name="asst3">
    <dgm:fillClrLst>
      <a:schemeClr val="accent5">
        <a:alpha val="70000"/>
      </a:schemeClr>
    </dgm:fillClrLst>
    <dgm:linClrLst meth="repeat">
      <a:schemeClr val="lt1"/>
    </dgm:linClrLst>
    <dgm:effectClrLst/>
    <dgm:txLinClrLst/>
    <dgm:txFillClrLst/>
    <dgm:txEffectClrLst/>
  </dgm:styleLbl>
  <dgm:styleLbl name="asst4">
    <dgm:fillClrLst>
      <a:schemeClr val="accent5">
        <a:alpha val="50000"/>
      </a:schemeClr>
    </dgm:fillClrLst>
    <dgm:linClrLst meth="repeat">
      <a:schemeClr val="lt1"/>
    </dgm:linClrLst>
    <dgm:effectClrLst/>
    <dgm:txLinClrLst/>
    <dgm:txFillClrLst/>
    <dgm:txEffectClrLst/>
  </dgm:styleLbl>
  <dgm:styleLbl name="parChTrans2D1">
    <dgm:fillClrLst meth="repeat">
      <a:schemeClr val="accent5">
        <a:shade val="80000"/>
      </a:schemeClr>
    </dgm:fillClrLst>
    <dgm:linClrLst meth="repeat">
      <a:schemeClr val="accent5">
        <a:shade val="80000"/>
      </a:schemeClr>
    </dgm:linClrLst>
    <dgm:effectClrLst/>
    <dgm:txLinClrLst/>
    <dgm:txFillClrLst/>
    <dgm:txEffectClrLst/>
  </dgm:styleLbl>
  <dgm:styleLbl name="parChTrans2D2">
    <dgm:fillClrLst meth="repeat">
      <a:schemeClr val="accent5">
        <a:tint val="90000"/>
      </a:schemeClr>
    </dgm:fillClrLst>
    <dgm:linClrLst meth="repeat">
      <a:schemeClr val="accent5">
        <a:tint val="90000"/>
      </a:schemeClr>
    </dgm:linClrLst>
    <dgm:effectClrLst/>
    <dgm:txLinClrLst/>
    <dgm:txFillClrLst/>
    <dgm:txEffectClrLst/>
  </dgm:styleLbl>
  <dgm:styleLbl name="parChTrans2D3">
    <dgm:fillClrLst meth="repeat">
      <a:schemeClr val="accent5">
        <a:tint val="70000"/>
      </a:schemeClr>
    </dgm:fillClrLst>
    <dgm:linClrLst meth="repeat">
      <a:schemeClr val="accent5">
        <a:tint val="70000"/>
      </a:schemeClr>
    </dgm:linClrLst>
    <dgm:effectClrLst/>
    <dgm:txLinClrLst/>
    <dgm:txFillClrLst/>
    <dgm:txEffectClrLst/>
  </dgm:styleLbl>
  <dgm:styleLbl name="parChTrans2D4">
    <dgm:fillClrLst meth="repeat">
      <a:schemeClr val="accent5">
        <a:tint val="50000"/>
      </a:schemeClr>
    </dgm:fillClrLst>
    <dgm:linClrLst meth="repeat">
      <a:schemeClr val="accent5">
        <a:tint val="50000"/>
      </a:schemeClr>
    </dgm:linClrLst>
    <dgm:effectClrLst/>
    <dgm:txLinClrLst/>
    <dgm:txFillClrLst meth="repeat">
      <a:schemeClr val="dk1"/>
    </dgm:txFillClrLst>
    <dgm:txEffectClrLst/>
  </dgm:styleLbl>
  <dgm:styleLbl name="parChTrans1D1">
    <dgm:fillClrLst meth="repeat">
      <a:schemeClr val="accent5">
        <a:shade val="80000"/>
      </a:schemeClr>
    </dgm:fillClrLst>
    <dgm:linClrLst meth="repeat">
      <a:schemeClr val="accent5">
        <a:shade val="80000"/>
      </a:schemeClr>
    </dgm:linClrLst>
    <dgm:effectClrLst/>
    <dgm:txLinClrLst/>
    <dgm:txFillClrLst meth="repeat">
      <a:schemeClr val="tx1"/>
    </dgm:txFillClrLst>
    <dgm:txEffectClrLst/>
  </dgm:styleLbl>
  <dgm:styleLbl name="parChTrans1D2">
    <dgm:fillClrLst meth="repeat">
      <a:schemeClr val="accent5">
        <a:tint val="90000"/>
      </a:schemeClr>
    </dgm:fillClrLst>
    <dgm:linClrLst meth="repeat">
      <a:schemeClr val="accent5">
        <a:tint val="90000"/>
      </a:schemeClr>
    </dgm:linClrLst>
    <dgm:effectClrLst/>
    <dgm:txLinClrLst/>
    <dgm:txFillClrLst meth="repeat">
      <a:schemeClr val="tx1"/>
    </dgm:txFillClrLst>
    <dgm:txEffectClrLst/>
  </dgm:styleLbl>
  <dgm:styleLbl name="parChTrans1D3">
    <dgm:fillClrLst meth="repeat">
      <a:schemeClr val="accent5">
        <a:tint val="70000"/>
      </a:schemeClr>
    </dgm:fillClrLst>
    <dgm:linClrLst meth="repeat">
      <a:schemeClr val="accent5">
        <a:tint val="70000"/>
      </a:schemeClr>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5">
        <a:tint val="5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5">
        <a:alpha val="90000"/>
      </a:schemeClr>
      <a:schemeClr val="accent5">
        <a:alpha val="5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alpha val="90000"/>
      </a:schemeClr>
      <a:schemeClr val="accent5">
        <a:alpha val="5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alpha val="90000"/>
      </a:schemeClr>
      <a:schemeClr val="accent5">
        <a:alpha val="50000"/>
      </a:schemeClr>
    </dgm:linClrLst>
    <dgm:effectClrLst/>
    <dgm:txLinClrLst/>
    <dgm:txFillClrLst meth="repeat">
      <a:schemeClr val="dk1"/>
    </dgm:txFillClrLst>
    <dgm:txEffectClrLst/>
  </dgm:styleLbl>
  <dgm:styleLbl name="trAlignAcc1">
    <dgm:fillClrLst meth="repeat">
      <a:schemeClr val="lt1">
        <a:alpha val="40000"/>
      </a:schemeClr>
    </dgm:fillClrLst>
    <dgm:linClrLst>
      <a:schemeClr val="accent5">
        <a:alpha val="90000"/>
      </a:schemeClr>
      <a:schemeClr val="accent5">
        <a:alpha val="50000"/>
      </a:schemeClr>
    </dgm:linClrLst>
    <dgm:effectClrLst/>
    <dgm:txLinClrLst/>
    <dgm:txFillClrLst meth="repeat">
      <a:schemeClr val="dk1"/>
    </dgm:txFillClrLst>
    <dgm:txEffectClrLst/>
  </dgm:styleLbl>
  <dgm:styleLbl name="bgAcc1">
    <dgm:fillClrLst meth="repeat">
      <a:schemeClr val="lt1">
        <a:alpha val="90000"/>
      </a:schemeClr>
    </dgm:fillClrLst>
    <dgm:linClrLst>
      <a:schemeClr val="accent5">
        <a:alpha val="90000"/>
      </a:schemeClr>
      <a:schemeClr val="accent5">
        <a:alpha val="50000"/>
      </a:schemeClr>
    </dgm:linClrLst>
    <dgm:effectClrLst/>
    <dgm:txLinClrLst/>
    <dgm:txFillClrLst meth="repeat">
      <a:schemeClr val="dk1"/>
    </dgm:txFillClrLst>
    <dgm:txEffectClrLst/>
  </dgm:styleLbl>
  <dgm:styleLbl name="solidFgAcc1">
    <dgm:fillClrLst meth="repeat">
      <a:schemeClr val="lt1"/>
    </dgm:fillClrLst>
    <dgm:linClrLst>
      <a:schemeClr val="accent5">
        <a:alpha val="90000"/>
      </a:schemeClr>
      <a:schemeClr val="accent5">
        <a:alpha val="5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5"/>
    </dgm:linClrLst>
    <dgm:effectClrLst/>
    <dgm:txLinClrLst/>
    <dgm:txFillClrLst meth="repeat">
      <a:schemeClr val="dk1"/>
    </dgm:txFillClrLst>
    <dgm:txEffectClrLst/>
  </dgm:styleLbl>
  <dgm:styleLbl name="solidBgAcc1">
    <dgm:fillClrLst meth="repeat">
      <a:schemeClr val="lt1"/>
    </dgm:fillClrLst>
    <dgm:linClrLst meth="repeat">
      <a:schemeClr val="accent5"/>
    </dgm:linClrLst>
    <dgm:effectClrLst/>
    <dgm:txLinClrLst/>
    <dgm:txFillClrLst meth="repeat">
      <a:schemeClr val="dk1"/>
    </dgm:txFillClrLst>
    <dgm:txEffectClrLst/>
  </dgm:styleLbl>
  <dgm:styleLbl name="fgAccFollowNode1">
    <dgm:fillClrLst>
      <a:schemeClr val="accent5">
        <a:alpha val="90000"/>
        <a:tint val="40000"/>
      </a:schemeClr>
      <a:schemeClr val="accent5">
        <a:alpha val="5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alignAccFollowNode1">
    <dgm:fillClrLst meth="repeat">
      <a:schemeClr val="accent5">
        <a:alpha val="9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bgAccFollowNode1">
    <dgm:fillClrLst meth="repeat">
      <a:schemeClr val="accent5">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5">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5">
        <a:tint val="90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5">
        <a:tint val="7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5">
        <a:tint val="50000"/>
      </a:schemeClr>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xml><?xml version="1.0" encoding="utf-8"?>
<dgm:colorsDef xmlns:dgm="http://schemas.openxmlformats.org/drawingml/2006/diagram" xmlns:a="http://schemas.openxmlformats.org/drawingml/2006/main" uniqueId="urn:microsoft.com/office/officeart/2005/8/colors/accent6_5">
  <dgm:title val=""/>
  <dgm:desc val=""/>
  <dgm:catLst>
    <dgm:cat type="accent6" pri="11500"/>
  </dgm:catLst>
  <dgm:styleLbl name="node0">
    <dgm:fillClrLst meth="cycle">
      <a:schemeClr val="accent6">
        <a:alpha val="80000"/>
      </a:schemeClr>
    </dgm:fillClrLst>
    <dgm:linClrLst meth="repeat">
      <a:schemeClr val="lt1"/>
    </dgm:linClrLst>
    <dgm:effectClrLst/>
    <dgm:txLinClrLst/>
    <dgm:txFillClrLst/>
    <dgm:txEffectClrLst/>
  </dgm:styleLbl>
  <dgm:styleLbl name="alignNode1">
    <dgm:fillClrLst>
      <a:schemeClr val="accent6">
        <a:alpha val="90000"/>
      </a:schemeClr>
      <a:schemeClr val="accent6">
        <a:alpha val="50000"/>
      </a:schemeClr>
    </dgm:fillClrLst>
    <dgm:linClrLst>
      <a:schemeClr val="accent6">
        <a:alpha val="90000"/>
      </a:schemeClr>
      <a:schemeClr val="accent6">
        <a:alpha val="50000"/>
      </a:schemeClr>
    </dgm:linClrLst>
    <dgm:effectClrLst/>
    <dgm:txLinClrLst/>
    <dgm:txFillClrLst/>
    <dgm:txEffectClrLst/>
  </dgm:styleLbl>
  <dgm:styleLbl name="node1">
    <dgm:fillClrLst>
      <a:schemeClr val="accent6">
        <a:alpha val="90000"/>
      </a:schemeClr>
      <a:schemeClr val="accent6">
        <a:alpha val="50000"/>
      </a:schemeClr>
    </dgm:fillClrLst>
    <dgm:linClrLst meth="repeat">
      <a:schemeClr val="lt1"/>
    </dgm:linClrLst>
    <dgm:effectClrLst/>
    <dgm:txLinClrLst/>
    <dgm:txFillClrLst/>
    <dgm:txEffectClrLst/>
  </dgm:styleLbl>
  <dgm:styleLbl name="lnNode1">
    <dgm:fillClrLst>
      <a:schemeClr val="accent6">
        <a:shade val="90000"/>
      </a:schemeClr>
      <a:schemeClr val="accent6">
        <a:tint val="50000"/>
        <a:alpha val="50000"/>
      </a:schemeClr>
    </dgm:fillClrLst>
    <dgm:linClrLst meth="repeat">
      <a:schemeClr val="lt1"/>
    </dgm:linClrLst>
    <dgm:effectClrLst/>
    <dgm:txLinClrLst/>
    <dgm:txFillClrLst/>
    <dgm:txEffectClrLst/>
  </dgm:styleLbl>
  <dgm:styleLbl name="vennNode1">
    <dgm:fillClrLst>
      <a:schemeClr val="accent6">
        <a:shade val="80000"/>
        <a:alpha val="50000"/>
      </a:schemeClr>
      <a:schemeClr val="accent6">
        <a:alpha val="80000"/>
      </a:schemeClr>
    </dgm:fillClrLst>
    <dgm:linClrLst meth="repeat">
      <a:schemeClr val="lt1"/>
    </dgm:linClrLst>
    <dgm:effectClrLst/>
    <dgm:txLinClrLst/>
    <dgm:txFillClrLst/>
    <dgm:txEffectClrLst/>
  </dgm:styleLbl>
  <dgm:styleLbl name="node2">
    <dgm:fillClrLst>
      <a:schemeClr val="accent6">
        <a:alpha val="70000"/>
      </a:schemeClr>
    </dgm:fillClrLst>
    <dgm:linClrLst meth="repeat">
      <a:schemeClr val="lt1"/>
    </dgm:linClrLst>
    <dgm:effectClrLst/>
    <dgm:txLinClrLst/>
    <dgm:txFillClrLst/>
    <dgm:txEffectClrLst/>
  </dgm:styleLbl>
  <dgm:styleLbl name="node3">
    <dgm:fillClrLst>
      <a:schemeClr val="accent6">
        <a:alpha val="50000"/>
      </a:schemeClr>
    </dgm:fillClrLst>
    <dgm:linClrLst meth="repeat">
      <a:schemeClr val="lt1"/>
    </dgm:linClrLst>
    <dgm:effectClrLst/>
    <dgm:txLinClrLst/>
    <dgm:txFillClrLst/>
    <dgm:txEffectClrLst/>
  </dgm:styleLbl>
  <dgm:styleLbl name="node4">
    <dgm:fillClrLst>
      <a:schemeClr val="accent6">
        <a:alpha val="30000"/>
      </a:schemeClr>
    </dgm:fillClrLst>
    <dgm:linClrLst meth="repeat">
      <a:schemeClr val="lt1"/>
    </dgm:linClrLst>
    <dgm:effectClrLst/>
    <dgm:txLinClrLst/>
    <dgm:txFillClrLst/>
    <dgm:txEffectClrLst/>
  </dgm:styleLbl>
  <dgm:styleLbl name="fgImgPlace1">
    <dgm:fillClrLst>
      <a:schemeClr val="accent6">
        <a:tint val="50000"/>
        <a:alpha val="90000"/>
      </a:schemeClr>
      <a:schemeClr val="accent6">
        <a:tint val="20000"/>
        <a:alpha val="50000"/>
      </a:schemeClr>
    </dgm:fillClrLst>
    <dgm:linClrLst meth="repeat">
      <a:schemeClr val="lt1"/>
    </dgm:linClrLst>
    <dgm:effectClrLst/>
    <dgm:txLinClrLst/>
    <dgm:txFillClrLst meth="repeat">
      <a:schemeClr val="lt1"/>
    </dgm:txFillClrLst>
    <dgm:txEffectClrLst/>
  </dgm:styleLbl>
  <dgm:styleLbl name="alignImgPlace1">
    <dgm:fillClrLst>
      <a:schemeClr val="accent6">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6">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6">
        <a:shade val="90000"/>
      </a:schemeClr>
      <a:schemeClr val="accent6">
        <a:tint val="50000"/>
      </a:schemeClr>
    </dgm:fillClrLst>
    <dgm:linClrLst>
      <a:schemeClr val="accent6">
        <a:shade val="90000"/>
      </a:schemeClr>
      <a:schemeClr val="accent6">
        <a:tint val="50000"/>
      </a:schemeClr>
    </dgm:linClrLst>
    <dgm:effectClrLst/>
    <dgm:txLinClrLst/>
    <dgm:txFillClrLst/>
    <dgm:txEffectClrLst/>
  </dgm:styleLbl>
  <dgm:styleLbl name="fgSibTrans2D1">
    <dgm:fillClrLst>
      <a:schemeClr val="accent6">
        <a:shade val="90000"/>
      </a:schemeClr>
      <a:schemeClr val="accent6">
        <a:tint val="50000"/>
      </a:schemeClr>
    </dgm:fillClrLst>
    <dgm:linClrLst>
      <a:schemeClr val="accent6">
        <a:shade val="90000"/>
      </a:schemeClr>
      <a:schemeClr val="accent6">
        <a:tint val="50000"/>
      </a:schemeClr>
    </dgm:linClrLst>
    <dgm:effectClrLst/>
    <dgm:txLinClrLst/>
    <dgm:txFillClrLst/>
    <dgm:txEffectClrLst/>
  </dgm:styleLbl>
  <dgm:styleLbl name="bgSibTrans2D1">
    <dgm:fillClrLst>
      <a:schemeClr val="accent6">
        <a:shade val="90000"/>
      </a:schemeClr>
      <a:schemeClr val="accent6">
        <a:tint val="50000"/>
      </a:schemeClr>
    </dgm:fillClrLst>
    <dgm:linClrLst>
      <a:schemeClr val="accent6">
        <a:shade val="90000"/>
      </a:schemeClr>
      <a:schemeClr val="accent6">
        <a:tint val="50000"/>
      </a:schemeClr>
    </dgm:linClrLst>
    <dgm:effectClrLst/>
    <dgm:txLinClrLst/>
    <dgm:txFillClrLst/>
    <dgm:txEffectClrLst/>
  </dgm:styleLbl>
  <dgm:styleLbl name="sibTrans1D1">
    <dgm:fillClrLst>
      <a:schemeClr val="accent6">
        <a:shade val="90000"/>
      </a:schemeClr>
      <a:schemeClr val="accent6">
        <a:tint val="50000"/>
      </a:schemeClr>
    </dgm:fillClrLst>
    <dgm:linClrLst>
      <a:schemeClr val="accent6">
        <a:shade val="90000"/>
      </a:schemeClr>
      <a:schemeClr val="accent6">
        <a:tint val="50000"/>
      </a:schemeClr>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accent6">
        <a:alpha val="90000"/>
      </a:schemeClr>
    </dgm:fillClrLst>
    <dgm:linClrLst meth="repeat">
      <a:schemeClr val="lt1"/>
    </dgm:linClrLst>
    <dgm:effectClrLst/>
    <dgm:txLinClrLst/>
    <dgm:txFillClrLst/>
    <dgm:txEffectClrLst/>
  </dgm:styleLbl>
  <dgm:styleLbl name="asst1">
    <dgm:fillClrLst meth="repeat">
      <a:schemeClr val="accent6">
        <a:alpha val="90000"/>
      </a:schemeClr>
    </dgm:fillClrLst>
    <dgm:linClrLst meth="repeat">
      <a:schemeClr val="lt1"/>
    </dgm:linClrLst>
    <dgm:effectClrLst/>
    <dgm:txLinClrLst/>
    <dgm:txFillClrLst/>
    <dgm:txEffectClrLst/>
  </dgm:styleLbl>
  <dgm:styleLbl name="asst2">
    <dgm:fillClrLst>
      <a:schemeClr val="accent6">
        <a:alpha val="90000"/>
      </a:schemeClr>
    </dgm:fillClrLst>
    <dgm:linClrLst meth="repeat">
      <a:schemeClr val="lt1"/>
    </dgm:linClrLst>
    <dgm:effectClrLst/>
    <dgm:txLinClrLst/>
    <dgm:txFillClrLst/>
    <dgm:txEffectClrLst/>
  </dgm:styleLbl>
  <dgm:styleLbl name="asst3">
    <dgm:fillClrLst>
      <a:schemeClr val="accent6">
        <a:alpha val="70000"/>
      </a:schemeClr>
    </dgm:fillClrLst>
    <dgm:linClrLst meth="repeat">
      <a:schemeClr val="lt1"/>
    </dgm:linClrLst>
    <dgm:effectClrLst/>
    <dgm:txLinClrLst/>
    <dgm:txFillClrLst/>
    <dgm:txEffectClrLst/>
  </dgm:styleLbl>
  <dgm:styleLbl name="asst4">
    <dgm:fillClrLst>
      <a:schemeClr val="accent6">
        <a:alpha val="50000"/>
      </a:schemeClr>
    </dgm:fillClrLst>
    <dgm:linClrLst meth="repeat">
      <a:schemeClr val="lt1"/>
    </dgm:linClrLst>
    <dgm:effectClrLst/>
    <dgm:txLinClrLst/>
    <dgm:txFillClrLst/>
    <dgm:txEffectClrLst/>
  </dgm:styleLbl>
  <dgm:styleLbl name="parChTrans2D1">
    <dgm:fillClrLst meth="repeat">
      <a:schemeClr val="accent6">
        <a:shade val="80000"/>
      </a:schemeClr>
    </dgm:fillClrLst>
    <dgm:linClrLst meth="repeat">
      <a:schemeClr val="accent6">
        <a:shade val="80000"/>
      </a:schemeClr>
    </dgm:linClrLst>
    <dgm:effectClrLst/>
    <dgm:txLinClrLst/>
    <dgm:txFillClrLst/>
    <dgm:txEffectClrLst/>
  </dgm:styleLbl>
  <dgm:styleLbl name="parChTrans2D2">
    <dgm:fillClrLst meth="repeat">
      <a:schemeClr val="accent6">
        <a:tint val="90000"/>
      </a:schemeClr>
    </dgm:fillClrLst>
    <dgm:linClrLst meth="repeat">
      <a:schemeClr val="accent6">
        <a:tint val="90000"/>
      </a:schemeClr>
    </dgm:linClrLst>
    <dgm:effectClrLst/>
    <dgm:txLinClrLst/>
    <dgm:txFillClrLst/>
    <dgm:txEffectClrLst/>
  </dgm:styleLbl>
  <dgm:styleLbl name="parChTrans2D3">
    <dgm:fillClrLst meth="repeat">
      <a:schemeClr val="accent6">
        <a:tint val="70000"/>
      </a:schemeClr>
    </dgm:fillClrLst>
    <dgm:linClrLst meth="repeat">
      <a:schemeClr val="accent6">
        <a:tint val="70000"/>
      </a:schemeClr>
    </dgm:linClrLst>
    <dgm:effectClrLst/>
    <dgm:txLinClrLst/>
    <dgm:txFillClrLst/>
    <dgm:txEffectClrLst/>
  </dgm:styleLbl>
  <dgm:styleLbl name="parChTrans2D4">
    <dgm:fillClrLst meth="repeat">
      <a:schemeClr val="accent6">
        <a:tint val="50000"/>
      </a:schemeClr>
    </dgm:fillClrLst>
    <dgm:linClrLst meth="repeat">
      <a:schemeClr val="accent6">
        <a:tint val="50000"/>
      </a:schemeClr>
    </dgm:linClrLst>
    <dgm:effectClrLst/>
    <dgm:txLinClrLst/>
    <dgm:txFillClrLst meth="repeat">
      <a:schemeClr val="dk1"/>
    </dgm:txFillClrLst>
    <dgm:txEffectClrLst/>
  </dgm:styleLbl>
  <dgm:styleLbl name="parChTrans1D1">
    <dgm:fillClrLst meth="repeat">
      <a:schemeClr val="accent6">
        <a:shade val="80000"/>
      </a:schemeClr>
    </dgm:fillClrLst>
    <dgm:linClrLst meth="repeat">
      <a:schemeClr val="accent6">
        <a:shade val="80000"/>
      </a:schemeClr>
    </dgm:linClrLst>
    <dgm:effectClrLst/>
    <dgm:txLinClrLst/>
    <dgm:txFillClrLst meth="repeat">
      <a:schemeClr val="tx1"/>
    </dgm:txFillClrLst>
    <dgm:txEffectClrLst/>
  </dgm:styleLbl>
  <dgm:styleLbl name="parChTrans1D2">
    <dgm:fillClrLst meth="repeat">
      <a:schemeClr val="accent6">
        <a:tint val="90000"/>
      </a:schemeClr>
    </dgm:fillClrLst>
    <dgm:linClrLst meth="repeat">
      <a:schemeClr val="accent6">
        <a:tint val="90000"/>
      </a:schemeClr>
    </dgm:linClrLst>
    <dgm:effectClrLst/>
    <dgm:txLinClrLst/>
    <dgm:txFillClrLst meth="repeat">
      <a:schemeClr val="tx1"/>
    </dgm:txFillClrLst>
    <dgm:txEffectClrLst/>
  </dgm:styleLbl>
  <dgm:styleLbl name="parChTrans1D3">
    <dgm:fillClrLst meth="repeat">
      <a:schemeClr val="accent6">
        <a:tint val="70000"/>
      </a:schemeClr>
    </dgm:fillClrLst>
    <dgm:linClrLst meth="repeat">
      <a:schemeClr val="accent6">
        <a:tint val="70000"/>
      </a:schemeClr>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6">
        <a:tint val="5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6">
        <a:alpha val="90000"/>
      </a:schemeClr>
      <a:schemeClr val="accent6">
        <a:alpha val="5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6">
        <a:alpha val="90000"/>
      </a:schemeClr>
      <a:schemeClr val="accent6">
        <a:alpha val="5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6">
        <a:alpha val="90000"/>
      </a:schemeClr>
      <a:schemeClr val="accent6">
        <a:alpha val="50000"/>
      </a:schemeClr>
    </dgm:linClrLst>
    <dgm:effectClrLst/>
    <dgm:txLinClrLst/>
    <dgm:txFillClrLst meth="repeat">
      <a:schemeClr val="dk1"/>
    </dgm:txFillClrLst>
    <dgm:txEffectClrLst/>
  </dgm:styleLbl>
  <dgm:styleLbl name="trAlignAcc1">
    <dgm:fillClrLst meth="repeat">
      <a:schemeClr val="lt1">
        <a:alpha val="40000"/>
      </a:schemeClr>
    </dgm:fillClrLst>
    <dgm:linClrLst>
      <a:schemeClr val="accent6">
        <a:alpha val="90000"/>
      </a:schemeClr>
      <a:schemeClr val="accent6">
        <a:alpha val="50000"/>
      </a:schemeClr>
    </dgm:linClrLst>
    <dgm:effectClrLst/>
    <dgm:txLinClrLst/>
    <dgm:txFillClrLst meth="repeat">
      <a:schemeClr val="dk1"/>
    </dgm:txFillClrLst>
    <dgm:txEffectClrLst/>
  </dgm:styleLbl>
  <dgm:styleLbl name="bgAcc1">
    <dgm:fillClrLst meth="repeat">
      <a:schemeClr val="lt1">
        <a:alpha val="90000"/>
      </a:schemeClr>
    </dgm:fillClrLst>
    <dgm:linClrLst>
      <a:schemeClr val="accent6">
        <a:alpha val="90000"/>
      </a:schemeClr>
      <a:schemeClr val="accent6">
        <a:alpha val="50000"/>
      </a:schemeClr>
    </dgm:linClrLst>
    <dgm:effectClrLst/>
    <dgm:txLinClrLst/>
    <dgm:txFillClrLst meth="repeat">
      <a:schemeClr val="dk1"/>
    </dgm:txFillClrLst>
    <dgm:txEffectClrLst/>
  </dgm:styleLbl>
  <dgm:styleLbl name="solidFgAcc1">
    <dgm:fillClrLst meth="repeat">
      <a:schemeClr val="lt1"/>
    </dgm:fillClrLst>
    <dgm:linClrLst>
      <a:schemeClr val="accent6">
        <a:alpha val="90000"/>
      </a:schemeClr>
      <a:schemeClr val="accent6">
        <a:alpha val="5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a:schemeClr val="accent6">
        <a:alpha val="90000"/>
        <a:tint val="40000"/>
      </a:schemeClr>
      <a:schemeClr val="accent6">
        <a:alpha val="50000"/>
        <a:tint val="40000"/>
      </a:schemeClr>
    </dgm:fillClrLst>
    <dgm:linClrLst meth="repeat">
      <a:schemeClr val="accent6">
        <a:alpha val="90000"/>
        <a:tint val="40000"/>
      </a:schemeClr>
    </dgm:linClrLst>
    <dgm:effectClrLst/>
    <dgm:txLinClrLst/>
    <dgm:txFillClrLst meth="repeat">
      <a:schemeClr val="dk1"/>
    </dgm:txFillClrLst>
    <dgm:txEffectClrLst/>
  </dgm:styleLbl>
  <dgm:styleLbl name="alignAccFollowNode1">
    <dgm:fillClrLst meth="repeat">
      <a:schemeClr val="accent6">
        <a:alpha val="90000"/>
        <a:tint val="40000"/>
      </a:schemeClr>
    </dgm:fillClrLst>
    <dgm:linClrLst meth="repeat">
      <a:schemeClr val="accent6">
        <a:alpha val="90000"/>
        <a:tint val="40000"/>
      </a:schemeClr>
    </dgm:linClrLst>
    <dgm:effectClrLst/>
    <dgm:txLinClrLst/>
    <dgm:txFillClrLst meth="repeat">
      <a:schemeClr val="dk1"/>
    </dgm:txFillClrLst>
    <dgm:txEffectClrLst/>
  </dgm:styleLbl>
  <dgm:styleLbl name="bgAccFollowNode1">
    <dgm:fillClrLst meth="repeat">
      <a:schemeClr val="accent6">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6">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6">
        <a:tint val="90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6">
        <a:tint val="7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6">
        <a:tint val="50000"/>
      </a:schemeClr>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6">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0488D1FB-4C8D-44A2-BFDF-3DE96CC3897F}" type="doc">
      <dgm:prSet loTypeId="urn:microsoft.com/office/officeart/2005/8/layout/process1" loCatId="process" qsTypeId="urn:microsoft.com/office/officeart/2005/8/quickstyle/simple3" qsCatId="simple" csTypeId="urn:microsoft.com/office/officeart/2005/8/colors/colorful1" csCatId="colorful" phldr="1"/>
      <dgm:spPr/>
      <dgm:t>
        <a:bodyPr/>
        <a:lstStyle/>
        <a:p>
          <a:endParaRPr kumimoji="1" lang="ja-JP" altLang="en-US"/>
        </a:p>
      </dgm:t>
    </dgm:pt>
    <dgm:pt modelId="{A38FF5F6-8CF7-4768-92FC-B849C1C3E740}">
      <dgm:prSet phldrT="[テキスト]" custT="1"/>
      <dgm:spPr/>
      <dgm:t>
        <a:bodyPr/>
        <a:lstStyle/>
        <a:p>
          <a:r>
            <a:rPr kumimoji="1" lang="ja-JP" altLang="en-US" sz="1400" dirty="0">
              <a:latin typeface="HGP創英角ｺﾞｼｯｸUB" panose="020B0900000000000000" pitchFamily="50" charset="-128"/>
              <a:ea typeface="HGP創英角ｺﾞｼｯｸUB" panose="020B0900000000000000" pitchFamily="50" charset="-128"/>
            </a:rPr>
            <a:t>収集対象ソフトウェアの把握</a:t>
          </a:r>
        </a:p>
      </dgm:t>
    </dgm:pt>
    <dgm:pt modelId="{56BAF7FD-4901-4816-A2CA-9943EA554136}" type="parTrans" cxnId="{392D4662-ECAE-446D-97B2-21B76BCB7153}">
      <dgm:prSet/>
      <dgm:spPr/>
      <dgm:t>
        <a:bodyPr/>
        <a:lstStyle/>
        <a:p>
          <a:endParaRPr kumimoji="1" lang="ja-JP" altLang="en-US" sz="1400">
            <a:latin typeface="HGP創英角ｺﾞｼｯｸUB" panose="020B0900000000000000" pitchFamily="50" charset="-128"/>
            <a:ea typeface="HGP創英角ｺﾞｼｯｸUB" panose="020B0900000000000000" pitchFamily="50" charset="-128"/>
          </a:endParaRPr>
        </a:p>
      </dgm:t>
    </dgm:pt>
    <dgm:pt modelId="{76D49151-69C2-4253-8494-DE1E7EF625FB}" type="sibTrans" cxnId="{392D4662-ECAE-446D-97B2-21B76BCB7153}">
      <dgm:prSet custT="1"/>
      <dgm:spPr/>
      <dgm:t>
        <a:bodyPr/>
        <a:lstStyle/>
        <a:p>
          <a:endParaRPr kumimoji="1" lang="ja-JP" altLang="en-US" sz="1400">
            <a:latin typeface="HGP創英角ｺﾞｼｯｸUB" panose="020B0900000000000000" pitchFamily="50" charset="-128"/>
            <a:ea typeface="HGP創英角ｺﾞｼｯｸUB" panose="020B0900000000000000" pitchFamily="50" charset="-128"/>
          </a:endParaRPr>
        </a:p>
      </dgm:t>
    </dgm:pt>
    <dgm:pt modelId="{0BE00328-149D-44F2-AF3E-2D206A77FBF9}">
      <dgm:prSet phldrT="[テキスト]" custT="1"/>
      <dgm:spPr/>
      <dgm:t>
        <a:bodyPr/>
        <a:lstStyle/>
        <a:p>
          <a:r>
            <a:rPr kumimoji="1" lang="ja-JP" altLang="en-US" sz="1400" dirty="0">
              <a:latin typeface="HGP創英角ｺﾞｼｯｸUB" panose="020B0900000000000000" pitchFamily="50" charset="-128"/>
              <a:ea typeface="HGP創英角ｺﾞｼｯｸUB" panose="020B0900000000000000" pitchFamily="50" charset="-128"/>
            </a:rPr>
            <a:t>脆弱性関連情報の収集</a:t>
          </a:r>
        </a:p>
      </dgm:t>
    </dgm:pt>
    <dgm:pt modelId="{9A51B1E2-5E68-45E0-8A52-DC2595D6376C}" type="parTrans" cxnId="{B11D69C5-0BA4-4476-ADB4-C54FA55E076D}">
      <dgm:prSet/>
      <dgm:spPr/>
      <dgm:t>
        <a:bodyPr/>
        <a:lstStyle/>
        <a:p>
          <a:endParaRPr kumimoji="1" lang="ja-JP" altLang="en-US" sz="1400">
            <a:latin typeface="HGP創英角ｺﾞｼｯｸUB" panose="020B0900000000000000" pitchFamily="50" charset="-128"/>
            <a:ea typeface="HGP創英角ｺﾞｼｯｸUB" panose="020B0900000000000000" pitchFamily="50" charset="-128"/>
          </a:endParaRPr>
        </a:p>
      </dgm:t>
    </dgm:pt>
    <dgm:pt modelId="{53AEEB29-69BD-4482-965D-F4A14A42675C}" type="sibTrans" cxnId="{B11D69C5-0BA4-4476-ADB4-C54FA55E076D}">
      <dgm:prSet custT="1"/>
      <dgm:spPr/>
      <dgm:t>
        <a:bodyPr/>
        <a:lstStyle/>
        <a:p>
          <a:endParaRPr kumimoji="1" lang="ja-JP" altLang="en-US" sz="1400">
            <a:latin typeface="HGP創英角ｺﾞｼｯｸUB" panose="020B0900000000000000" pitchFamily="50" charset="-128"/>
            <a:ea typeface="HGP創英角ｺﾞｼｯｸUB" panose="020B0900000000000000" pitchFamily="50" charset="-128"/>
          </a:endParaRPr>
        </a:p>
      </dgm:t>
    </dgm:pt>
    <dgm:pt modelId="{33808A98-8A65-4B9B-8A68-A2BCFDA443C1}">
      <dgm:prSet phldrT="[テキスト]" custT="1"/>
      <dgm:spPr/>
      <dgm:t>
        <a:bodyPr/>
        <a:lstStyle/>
        <a:p>
          <a:r>
            <a:rPr kumimoji="1" lang="ja-JP" altLang="en-US" sz="1400" dirty="0">
              <a:latin typeface="HGP創英角ｺﾞｼｯｸUB" panose="020B0900000000000000" pitchFamily="50" charset="-128"/>
              <a:ea typeface="HGP創英角ｺﾞｼｯｸUB" panose="020B0900000000000000" pitchFamily="50" charset="-128"/>
            </a:rPr>
            <a:t>適用判断</a:t>
          </a:r>
          <a:endParaRPr kumimoji="1" lang="en-US" altLang="ja-JP" sz="1400" dirty="0">
            <a:latin typeface="HGP創英角ｺﾞｼｯｸUB" panose="020B0900000000000000" pitchFamily="50" charset="-128"/>
            <a:ea typeface="HGP創英角ｺﾞｼｯｸUB" panose="020B0900000000000000" pitchFamily="50" charset="-128"/>
          </a:endParaRPr>
        </a:p>
      </dgm:t>
    </dgm:pt>
    <dgm:pt modelId="{4FAE2FF5-B325-4ED2-9A3A-5C72A3E80674}" type="parTrans" cxnId="{F97974CF-E476-4089-A4A7-06A5633D73CB}">
      <dgm:prSet/>
      <dgm:spPr/>
      <dgm:t>
        <a:bodyPr/>
        <a:lstStyle/>
        <a:p>
          <a:endParaRPr kumimoji="1" lang="ja-JP" altLang="en-US" sz="1400">
            <a:latin typeface="HGP創英角ｺﾞｼｯｸUB" panose="020B0900000000000000" pitchFamily="50" charset="-128"/>
            <a:ea typeface="HGP創英角ｺﾞｼｯｸUB" panose="020B0900000000000000" pitchFamily="50" charset="-128"/>
          </a:endParaRPr>
        </a:p>
      </dgm:t>
    </dgm:pt>
    <dgm:pt modelId="{8C77C194-16BE-44D5-AF51-1A5589F0AE18}" type="sibTrans" cxnId="{F97974CF-E476-4089-A4A7-06A5633D73CB}">
      <dgm:prSet custT="1"/>
      <dgm:spPr/>
      <dgm:t>
        <a:bodyPr/>
        <a:lstStyle/>
        <a:p>
          <a:endParaRPr kumimoji="1" lang="ja-JP" altLang="en-US" sz="1400">
            <a:latin typeface="HGP創英角ｺﾞｼｯｸUB" panose="020B0900000000000000" pitchFamily="50" charset="-128"/>
            <a:ea typeface="HGP創英角ｺﾞｼｯｸUB" panose="020B0900000000000000" pitchFamily="50" charset="-128"/>
          </a:endParaRPr>
        </a:p>
      </dgm:t>
    </dgm:pt>
    <dgm:pt modelId="{0ACE2823-D3A7-46A9-B835-4E5307366DA6}">
      <dgm:prSet custT="1"/>
      <dgm:spPr/>
      <dgm:t>
        <a:bodyPr/>
        <a:lstStyle/>
        <a:p>
          <a:r>
            <a:rPr kumimoji="1" lang="ja-JP" altLang="en-US" sz="1400" dirty="0">
              <a:latin typeface="HGP創英角ｺﾞｼｯｸUB" panose="020B0900000000000000" pitchFamily="50" charset="-128"/>
              <a:ea typeface="HGP創英角ｺﾞｼｯｸUB" panose="020B0900000000000000" pitchFamily="50" charset="-128"/>
            </a:rPr>
            <a:t>計画</a:t>
          </a:r>
        </a:p>
      </dgm:t>
    </dgm:pt>
    <dgm:pt modelId="{46C5B7B8-7293-41D0-A5E3-DE0FE8812B45}" type="parTrans" cxnId="{A60EDA3C-7CAB-439A-8050-DB62A224A643}">
      <dgm:prSet/>
      <dgm:spPr/>
      <dgm:t>
        <a:bodyPr/>
        <a:lstStyle/>
        <a:p>
          <a:endParaRPr kumimoji="1" lang="ja-JP" altLang="en-US" sz="1400">
            <a:latin typeface="HGP創英角ｺﾞｼｯｸUB" panose="020B0900000000000000" pitchFamily="50" charset="-128"/>
            <a:ea typeface="HGP創英角ｺﾞｼｯｸUB" panose="020B0900000000000000" pitchFamily="50" charset="-128"/>
          </a:endParaRPr>
        </a:p>
      </dgm:t>
    </dgm:pt>
    <dgm:pt modelId="{0FCB5A23-AB78-4C29-B922-F73F931F5972}" type="sibTrans" cxnId="{A60EDA3C-7CAB-439A-8050-DB62A224A643}">
      <dgm:prSet custT="1"/>
      <dgm:spPr/>
      <dgm:t>
        <a:bodyPr/>
        <a:lstStyle/>
        <a:p>
          <a:endParaRPr kumimoji="1" lang="ja-JP" altLang="en-US" sz="1400">
            <a:latin typeface="HGP創英角ｺﾞｼｯｸUB" panose="020B0900000000000000" pitchFamily="50" charset="-128"/>
            <a:ea typeface="HGP創英角ｺﾞｼｯｸUB" panose="020B0900000000000000" pitchFamily="50" charset="-128"/>
          </a:endParaRPr>
        </a:p>
      </dgm:t>
    </dgm:pt>
    <dgm:pt modelId="{48215B6E-11B8-4BE8-89EE-94F3D0871A5B}">
      <dgm:prSet custT="1"/>
      <dgm:spPr/>
      <dgm:t>
        <a:bodyPr/>
        <a:lstStyle/>
        <a:p>
          <a:r>
            <a:rPr kumimoji="1" lang="ja-JP" altLang="en-US" sz="1400" dirty="0">
              <a:latin typeface="HGP創英角ｺﾞｼｯｸUB" panose="020B0900000000000000" pitchFamily="50" charset="-128"/>
              <a:ea typeface="HGP創英角ｺﾞｼｯｸUB" panose="020B0900000000000000" pitchFamily="50" charset="-128"/>
            </a:rPr>
            <a:t>検証</a:t>
          </a:r>
        </a:p>
      </dgm:t>
    </dgm:pt>
    <dgm:pt modelId="{32564A4D-17F3-4BBE-9359-F4AAF39DCFEB}" type="parTrans" cxnId="{73B6B41E-6564-46E6-A09D-DA3D9A6361A6}">
      <dgm:prSet/>
      <dgm:spPr/>
      <dgm:t>
        <a:bodyPr/>
        <a:lstStyle/>
        <a:p>
          <a:endParaRPr kumimoji="1" lang="ja-JP" altLang="en-US" sz="1400">
            <a:latin typeface="HGP創英角ｺﾞｼｯｸUB" panose="020B0900000000000000" pitchFamily="50" charset="-128"/>
            <a:ea typeface="HGP創英角ｺﾞｼｯｸUB" panose="020B0900000000000000" pitchFamily="50" charset="-128"/>
          </a:endParaRPr>
        </a:p>
      </dgm:t>
    </dgm:pt>
    <dgm:pt modelId="{3DCA49A6-5DDC-4FD0-BFD1-52864BD50871}" type="sibTrans" cxnId="{73B6B41E-6564-46E6-A09D-DA3D9A6361A6}">
      <dgm:prSet custT="1"/>
      <dgm:spPr/>
      <dgm:t>
        <a:bodyPr/>
        <a:lstStyle/>
        <a:p>
          <a:endParaRPr kumimoji="1" lang="ja-JP" altLang="en-US" sz="1400">
            <a:latin typeface="HGP創英角ｺﾞｼｯｸUB" panose="020B0900000000000000" pitchFamily="50" charset="-128"/>
            <a:ea typeface="HGP創英角ｺﾞｼｯｸUB" panose="020B0900000000000000" pitchFamily="50" charset="-128"/>
          </a:endParaRPr>
        </a:p>
      </dgm:t>
    </dgm:pt>
    <dgm:pt modelId="{DD90207C-8B70-4321-BFFA-4A6E76FA4553}">
      <dgm:prSet custT="1"/>
      <dgm:spPr/>
      <dgm:t>
        <a:bodyPr/>
        <a:lstStyle/>
        <a:p>
          <a:r>
            <a:rPr kumimoji="1" lang="ja-JP" altLang="en-US" sz="1400" dirty="0">
              <a:latin typeface="HGP創英角ｺﾞｼｯｸUB" panose="020B0900000000000000" pitchFamily="50" charset="-128"/>
              <a:ea typeface="HGP創英角ｺﾞｼｯｸUB" panose="020B0900000000000000" pitchFamily="50" charset="-128"/>
            </a:rPr>
            <a:t>適用</a:t>
          </a:r>
        </a:p>
      </dgm:t>
    </dgm:pt>
    <dgm:pt modelId="{A08A5BAB-7986-400D-AFCA-2F963C7B86FB}" type="parTrans" cxnId="{CC45A2E5-FAFB-4BDA-8C13-FD18783E84E7}">
      <dgm:prSet/>
      <dgm:spPr/>
      <dgm:t>
        <a:bodyPr/>
        <a:lstStyle/>
        <a:p>
          <a:endParaRPr kumimoji="1" lang="ja-JP" altLang="en-US" sz="1400">
            <a:latin typeface="HGP創英角ｺﾞｼｯｸUB" panose="020B0900000000000000" pitchFamily="50" charset="-128"/>
            <a:ea typeface="HGP創英角ｺﾞｼｯｸUB" panose="020B0900000000000000" pitchFamily="50" charset="-128"/>
          </a:endParaRPr>
        </a:p>
      </dgm:t>
    </dgm:pt>
    <dgm:pt modelId="{FAE17756-8CCC-41A0-9C20-FCED72C187EA}" type="sibTrans" cxnId="{CC45A2E5-FAFB-4BDA-8C13-FD18783E84E7}">
      <dgm:prSet/>
      <dgm:spPr/>
      <dgm:t>
        <a:bodyPr/>
        <a:lstStyle/>
        <a:p>
          <a:endParaRPr kumimoji="1" lang="ja-JP" altLang="en-US" sz="1400">
            <a:latin typeface="HGP創英角ｺﾞｼｯｸUB" panose="020B0900000000000000" pitchFamily="50" charset="-128"/>
            <a:ea typeface="HGP創英角ｺﾞｼｯｸUB" panose="020B0900000000000000" pitchFamily="50" charset="-128"/>
          </a:endParaRPr>
        </a:p>
      </dgm:t>
    </dgm:pt>
    <dgm:pt modelId="{3E52C5B8-BAFE-4E79-9A57-F75F072B5884}" type="pres">
      <dgm:prSet presAssocID="{0488D1FB-4C8D-44A2-BFDF-3DE96CC3897F}" presName="Name0" presStyleCnt="0">
        <dgm:presLayoutVars>
          <dgm:dir/>
          <dgm:resizeHandles val="exact"/>
        </dgm:presLayoutVars>
      </dgm:prSet>
      <dgm:spPr/>
    </dgm:pt>
    <dgm:pt modelId="{374FA763-7ECD-4FAA-A800-70B3EB362CAD}" type="pres">
      <dgm:prSet presAssocID="{A38FF5F6-8CF7-4768-92FC-B849C1C3E740}" presName="node" presStyleLbl="node1" presStyleIdx="0" presStyleCnt="6" custScaleX="143744" custScaleY="114883">
        <dgm:presLayoutVars>
          <dgm:bulletEnabled val="1"/>
        </dgm:presLayoutVars>
      </dgm:prSet>
      <dgm:spPr/>
    </dgm:pt>
    <dgm:pt modelId="{22BEA73F-7B67-4D7A-A87A-894A62EF485D}" type="pres">
      <dgm:prSet presAssocID="{76D49151-69C2-4253-8494-DE1E7EF625FB}" presName="sibTrans" presStyleLbl="sibTrans2D1" presStyleIdx="0" presStyleCnt="5"/>
      <dgm:spPr/>
    </dgm:pt>
    <dgm:pt modelId="{2F3D12E3-5D69-4848-A1C2-CA6CCEB0977D}" type="pres">
      <dgm:prSet presAssocID="{76D49151-69C2-4253-8494-DE1E7EF625FB}" presName="connectorText" presStyleLbl="sibTrans2D1" presStyleIdx="0" presStyleCnt="5"/>
      <dgm:spPr/>
    </dgm:pt>
    <dgm:pt modelId="{5970AAC9-3921-4383-810A-75E0C55BC9B5}" type="pres">
      <dgm:prSet presAssocID="{0BE00328-149D-44F2-AF3E-2D206A77FBF9}" presName="node" presStyleLbl="node1" presStyleIdx="1" presStyleCnt="6" custScaleX="143744" custScaleY="114883">
        <dgm:presLayoutVars>
          <dgm:bulletEnabled val="1"/>
        </dgm:presLayoutVars>
      </dgm:prSet>
      <dgm:spPr/>
    </dgm:pt>
    <dgm:pt modelId="{66D506B2-76BC-4A8A-8782-A5FF504AA659}" type="pres">
      <dgm:prSet presAssocID="{53AEEB29-69BD-4482-965D-F4A14A42675C}" presName="sibTrans" presStyleLbl="sibTrans2D1" presStyleIdx="1" presStyleCnt="5"/>
      <dgm:spPr/>
    </dgm:pt>
    <dgm:pt modelId="{59ECAF8B-3933-49C3-A947-D1F61AFB126A}" type="pres">
      <dgm:prSet presAssocID="{53AEEB29-69BD-4482-965D-F4A14A42675C}" presName="connectorText" presStyleLbl="sibTrans2D1" presStyleIdx="1" presStyleCnt="5"/>
      <dgm:spPr/>
    </dgm:pt>
    <dgm:pt modelId="{8FB76142-1211-482C-8F08-99122C4D65EF}" type="pres">
      <dgm:prSet presAssocID="{33808A98-8A65-4B9B-8A68-A2BCFDA443C1}" presName="node" presStyleLbl="node1" presStyleIdx="2" presStyleCnt="6" custScaleX="143744" custScaleY="114883">
        <dgm:presLayoutVars>
          <dgm:bulletEnabled val="1"/>
        </dgm:presLayoutVars>
      </dgm:prSet>
      <dgm:spPr/>
    </dgm:pt>
    <dgm:pt modelId="{ACCEE3A9-059C-49E3-9F06-574715A63EB0}" type="pres">
      <dgm:prSet presAssocID="{8C77C194-16BE-44D5-AF51-1A5589F0AE18}" presName="sibTrans" presStyleLbl="sibTrans2D1" presStyleIdx="2" presStyleCnt="5"/>
      <dgm:spPr/>
    </dgm:pt>
    <dgm:pt modelId="{DDEC564D-C654-48FB-B94E-46B641247161}" type="pres">
      <dgm:prSet presAssocID="{8C77C194-16BE-44D5-AF51-1A5589F0AE18}" presName="connectorText" presStyleLbl="sibTrans2D1" presStyleIdx="2" presStyleCnt="5"/>
      <dgm:spPr/>
    </dgm:pt>
    <dgm:pt modelId="{8866F7DC-0B89-4BDE-8AC5-8681E84F538E}" type="pres">
      <dgm:prSet presAssocID="{0ACE2823-D3A7-46A9-B835-4E5307366DA6}" presName="node" presStyleLbl="node1" presStyleIdx="3" presStyleCnt="6" custScaleX="143744" custScaleY="114883">
        <dgm:presLayoutVars>
          <dgm:bulletEnabled val="1"/>
        </dgm:presLayoutVars>
      </dgm:prSet>
      <dgm:spPr/>
    </dgm:pt>
    <dgm:pt modelId="{58B8FD0A-4F59-4B0F-A1AC-4DFBA3C1372D}" type="pres">
      <dgm:prSet presAssocID="{0FCB5A23-AB78-4C29-B922-F73F931F5972}" presName="sibTrans" presStyleLbl="sibTrans2D1" presStyleIdx="3" presStyleCnt="5"/>
      <dgm:spPr/>
    </dgm:pt>
    <dgm:pt modelId="{8F48E00D-1EA6-483F-A3C1-6686EDAE0416}" type="pres">
      <dgm:prSet presAssocID="{0FCB5A23-AB78-4C29-B922-F73F931F5972}" presName="connectorText" presStyleLbl="sibTrans2D1" presStyleIdx="3" presStyleCnt="5"/>
      <dgm:spPr/>
    </dgm:pt>
    <dgm:pt modelId="{35932EFB-7DA8-4B45-BEA8-12DE9EAD797B}" type="pres">
      <dgm:prSet presAssocID="{48215B6E-11B8-4BE8-89EE-94F3D0871A5B}" presName="node" presStyleLbl="node1" presStyleIdx="4" presStyleCnt="6" custScaleX="143744" custScaleY="114883">
        <dgm:presLayoutVars>
          <dgm:bulletEnabled val="1"/>
        </dgm:presLayoutVars>
      </dgm:prSet>
      <dgm:spPr/>
    </dgm:pt>
    <dgm:pt modelId="{7DDF81E6-D780-44E1-B09C-06E19A0AE8AE}" type="pres">
      <dgm:prSet presAssocID="{3DCA49A6-5DDC-4FD0-BFD1-52864BD50871}" presName="sibTrans" presStyleLbl="sibTrans2D1" presStyleIdx="4" presStyleCnt="5"/>
      <dgm:spPr/>
    </dgm:pt>
    <dgm:pt modelId="{7478CBB6-CF55-4C45-B41B-10DDF9728BEF}" type="pres">
      <dgm:prSet presAssocID="{3DCA49A6-5DDC-4FD0-BFD1-52864BD50871}" presName="connectorText" presStyleLbl="sibTrans2D1" presStyleIdx="4" presStyleCnt="5"/>
      <dgm:spPr/>
    </dgm:pt>
    <dgm:pt modelId="{4062AF81-232B-41F1-A7A7-8E7D19CBB2D1}" type="pres">
      <dgm:prSet presAssocID="{DD90207C-8B70-4321-BFFA-4A6E76FA4553}" presName="node" presStyleLbl="node1" presStyleIdx="5" presStyleCnt="6" custScaleX="143744" custScaleY="114883">
        <dgm:presLayoutVars>
          <dgm:bulletEnabled val="1"/>
        </dgm:presLayoutVars>
      </dgm:prSet>
      <dgm:spPr/>
    </dgm:pt>
  </dgm:ptLst>
  <dgm:cxnLst>
    <dgm:cxn modelId="{D4083700-3164-483D-85A4-86C92A6D96E5}" type="presOf" srcId="{48215B6E-11B8-4BE8-89EE-94F3D0871A5B}" destId="{35932EFB-7DA8-4B45-BEA8-12DE9EAD797B}" srcOrd="0" destOrd="0" presId="urn:microsoft.com/office/officeart/2005/8/layout/process1"/>
    <dgm:cxn modelId="{1674CA02-276A-492A-8790-2696CBCE2211}" type="presOf" srcId="{A38FF5F6-8CF7-4768-92FC-B849C1C3E740}" destId="{374FA763-7ECD-4FAA-A800-70B3EB362CAD}" srcOrd="0" destOrd="0" presId="urn:microsoft.com/office/officeart/2005/8/layout/process1"/>
    <dgm:cxn modelId="{73B6B41E-6564-46E6-A09D-DA3D9A6361A6}" srcId="{0488D1FB-4C8D-44A2-BFDF-3DE96CC3897F}" destId="{48215B6E-11B8-4BE8-89EE-94F3D0871A5B}" srcOrd="4" destOrd="0" parTransId="{32564A4D-17F3-4BBE-9359-F4AAF39DCFEB}" sibTransId="{3DCA49A6-5DDC-4FD0-BFD1-52864BD50871}"/>
    <dgm:cxn modelId="{74021A22-41FB-44B1-A6B7-A4A3CAF4450F}" type="presOf" srcId="{0488D1FB-4C8D-44A2-BFDF-3DE96CC3897F}" destId="{3E52C5B8-BAFE-4E79-9A57-F75F072B5884}" srcOrd="0" destOrd="0" presId="urn:microsoft.com/office/officeart/2005/8/layout/process1"/>
    <dgm:cxn modelId="{BCB45328-A358-4145-82E7-AF09EC02306A}" type="presOf" srcId="{3DCA49A6-5DDC-4FD0-BFD1-52864BD50871}" destId="{7DDF81E6-D780-44E1-B09C-06E19A0AE8AE}" srcOrd="0" destOrd="0" presId="urn:microsoft.com/office/officeart/2005/8/layout/process1"/>
    <dgm:cxn modelId="{EC143139-4A47-4406-ADA6-0264FF5900B8}" type="presOf" srcId="{33808A98-8A65-4B9B-8A68-A2BCFDA443C1}" destId="{8FB76142-1211-482C-8F08-99122C4D65EF}" srcOrd="0" destOrd="0" presId="urn:microsoft.com/office/officeart/2005/8/layout/process1"/>
    <dgm:cxn modelId="{433FCE3A-089D-4061-BD4D-DFE645629F89}" type="presOf" srcId="{0BE00328-149D-44F2-AF3E-2D206A77FBF9}" destId="{5970AAC9-3921-4383-810A-75E0C55BC9B5}" srcOrd="0" destOrd="0" presId="urn:microsoft.com/office/officeart/2005/8/layout/process1"/>
    <dgm:cxn modelId="{A60EDA3C-7CAB-439A-8050-DB62A224A643}" srcId="{0488D1FB-4C8D-44A2-BFDF-3DE96CC3897F}" destId="{0ACE2823-D3A7-46A9-B835-4E5307366DA6}" srcOrd="3" destOrd="0" parTransId="{46C5B7B8-7293-41D0-A5E3-DE0FE8812B45}" sibTransId="{0FCB5A23-AB78-4C29-B922-F73F931F5972}"/>
    <dgm:cxn modelId="{392D4662-ECAE-446D-97B2-21B76BCB7153}" srcId="{0488D1FB-4C8D-44A2-BFDF-3DE96CC3897F}" destId="{A38FF5F6-8CF7-4768-92FC-B849C1C3E740}" srcOrd="0" destOrd="0" parTransId="{56BAF7FD-4901-4816-A2CA-9943EA554136}" sibTransId="{76D49151-69C2-4253-8494-DE1E7EF625FB}"/>
    <dgm:cxn modelId="{01BFCA45-E658-456F-9CCC-B84680E3545F}" type="presOf" srcId="{3DCA49A6-5DDC-4FD0-BFD1-52864BD50871}" destId="{7478CBB6-CF55-4C45-B41B-10DDF9728BEF}" srcOrd="1" destOrd="0" presId="urn:microsoft.com/office/officeart/2005/8/layout/process1"/>
    <dgm:cxn modelId="{C8F9ED7B-8E57-42EC-8D8D-9DD129A13F1D}" type="presOf" srcId="{53AEEB29-69BD-4482-965D-F4A14A42675C}" destId="{66D506B2-76BC-4A8A-8782-A5FF504AA659}" srcOrd="0" destOrd="0" presId="urn:microsoft.com/office/officeart/2005/8/layout/process1"/>
    <dgm:cxn modelId="{A2BBA98B-5DFA-48CA-99D1-980AC07126A7}" type="presOf" srcId="{53AEEB29-69BD-4482-965D-F4A14A42675C}" destId="{59ECAF8B-3933-49C3-A947-D1F61AFB126A}" srcOrd="1" destOrd="0" presId="urn:microsoft.com/office/officeart/2005/8/layout/process1"/>
    <dgm:cxn modelId="{284F2A99-8CCE-4DD1-BFDC-25786C4BCA76}" type="presOf" srcId="{0FCB5A23-AB78-4C29-B922-F73F931F5972}" destId="{8F48E00D-1EA6-483F-A3C1-6686EDAE0416}" srcOrd="1" destOrd="0" presId="urn:microsoft.com/office/officeart/2005/8/layout/process1"/>
    <dgm:cxn modelId="{BD6FA1AB-85C0-48BB-9C39-DE192F6DE001}" type="presOf" srcId="{76D49151-69C2-4253-8494-DE1E7EF625FB}" destId="{22BEA73F-7B67-4D7A-A87A-894A62EF485D}" srcOrd="0" destOrd="0" presId="urn:microsoft.com/office/officeart/2005/8/layout/process1"/>
    <dgm:cxn modelId="{2F477DAC-E281-4314-8FBE-0049C5D3620E}" type="presOf" srcId="{8C77C194-16BE-44D5-AF51-1A5589F0AE18}" destId="{ACCEE3A9-059C-49E3-9F06-574715A63EB0}" srcOrd="0" destOrd="0" presId="urn:microsoft.com/office/officeart/2005/8/layout/process1"/>
    <dgm:cxn modelId="{9237E4B6-4956-49BE-A2E1-037FD8B9E2D9}" type="presOf" srcId="{0FCB5A23-AB78-4C29-B922-F73F931F5972}" destId="{58B8FD0A-4F59-4B0F-A1AC-4DFBA3C1372D}" srcOrd="0" destOrd="0" presId="urn:microsoft.com/office/officeart/2005/8/layout/process1"/>
    <dgm:cxn modelId="{0CAFF9C0-5A4C-4710-932D-979906FB54AC}" type="presOf" srcId="{8C77C194-16BE-44D5-AF51-1A5589F0AE18}" destId="{DDEC564D-C654-48FB-B94E-46B641247161}" srcOrd="1" destOrd="0" presId="urn:microsoft.com/office/officeart/2005/8/layout/process1"/>
    <dgm:cxn modelId="{B11D69C5-0BA4-4476-ADB4-C54FA55E076D}" srcId="{0488D1FB-4C8D-44A2-BFDF-3DE96CC3897F}" destId="{0BE00328-149D-44F2-AF3E-2D206A77FBF9}" srcOrd="1" destOrd="0" parTransId="{9A51B1E2-5E68-45E0-8A52-DC2595D6376C}" sibTransId="{53AEEB29-69BD-4482-965D-F4A14A42675C}"/>
    <dgm:cxn modelId="{A6E49DCC-B0FF-40F1-968C-EAC4C4657A35}" type="presOf" srcId="{76D49151-69C2-4253-8494-DE1E7EF625FB}" destId="{2F3D12E3-5D69-4848-A1C2-CA6CCEB0977D}" srcOrd="1" destOrd="0" presId="urn:microsoft.com/office/officeart/2005/8/layout/process1"/>
    <dgm:cxn modelId="{F97974CF-E476-4089-A4A7-06A5633D73CB}" srcId="{0488D1FB-4C8D-44A2-BFDF-3DE96CC3897F}" destId="{33808A98-8A65-4B9B-8A68-A2BCFDA443C1}" srcOrd="2" destOrd="0" parTransId="{4FAE2FF5-B325-4ED2-9A3A-5C72A3E80674}" sibTransId="{8C77C194-16BE-44D5-AF51-1A5589F0AE18}"/>
    <dgm:cxn modelId="{CC45A2E5-FAFB-4BDA-8C13-FD18783E84E7}" srcId="{0488D1FB-4C8D-44A2-BFDF-3DE96CC3897F}" destId="{DD90207C-8B70-4321-BFFA-4A6E76FA4553}" srcOrd="5" destOrd="0" parTransId="{A08A5BAB-7986-400D-AFCA-2F963C7B86FB}" sibTransId="{FAE17756-8CCC-41A0-9C20-FCED72C187EA}"/>
    <dgm:cxn modelId="{656929E6-11D7-4458-BBD9-AF9E95801B3B}" type="presOf" srcId="{DD90207C-8B70-4321-BFFA-4A6E76FA4553}" destId="{4062AF81-232B-41F1-A7A7-8E7D19CBB2D1}" srcOrd="0" destOrd="0" presId="urn:microsoft.com/office/officeart/2005/8/layout/process1"/>
    <dgm:cxn modelId="{7EE72DF7-9204-4E06-95FA-EFBC6B500198}" type="presOf" srcId="{0ACE2823-D3A7-46A9-B835-4E5307366DA6}" destId="{8866F7DC-0B89-4BDE-8AC5-8681E84F538E}" srcOrd="0" destOrd="0" presId="urn:microsoft.com/office/officeart/2005/8/layout/process1"/>
    <dgm:cxn modelId="{8A21318A-E235-4B54-9300-9405C379CD1D}" type="presParOf" srcId="{3E52C5B8-BAFE-4E79-9A57-F75F072B5884}" destId="{374FA763-7ECD-4FAA-A800-70B3EB362CAD}" srcOrd="0" destOrd="0" presId="urn:microsoft.com/office/officeart/2005/8/layout/process1"/>
    <dgm:cxn modelId="{CBCDA411-CA80-4572-A603-BE3BE0B3CC08}" type="presParOf" srcId="{3E52C5B8-BAFE-4E79-9A57-F75F072B5884}" destId="{22BEA73F-7B67-4D7A-A87A-894A62EF485D}" srcOrd="1" destOrd="0" presId="urn:microsoft.com/office/officeart/2005/8/layout/process1"/>
    <dgm:cxn modelId="{5C4E73F6-AE61-40FD-8DCB-8046338AD0C6}" type="presParOf" srcId="{22BEA73F-7B67-4D7A-A87A-894A62EF485D}" destId="{2F3D12E3-5D69-4848-A1C2-CA6CCEB0977D}" srcOrd="0" destOrd="0" presId="urn:microsoft.com/office/officeart/2005/8/layout/process1"/>
    <dgm:cxn modelId="{02F55BEA-651B-4410-B5E9-ED8A102F682F}" type="presParOf" srcId="{3E52C5B8-BAFE-4E79-9A57-F75F072B5884}" destId="{5970AAC9-3921-4383-810A-75E0C55BC9B5}" srcOrd="2" destOrd="0" presId="urn:microsoft.com/office/officeart/2005/8/layout/process1"/>
    <dgm:cxn modelId="{ABE5B652-3118-48E6-B8D1-CBC61941F17B}" type="presParOf" srcId="{3E52C5B8-BAFE-4E79-9A57-F75F072B5884}" destId="{66D506B2-76BC-4A8A-8782-A5FF504AA659}" srcOrd="3" destOrd="0" presId="urn:microsoft.com/office/officeart/2005/8/layout/process1"/>
    <dgm:cxn modelId="{480E83E7-6D6D-45C2-A76C-8B964B09A60B}" type="presParOf" srcId="{66D506B2-76BC-4A8A-8782-A5FF504AA659}" destId="{59ECAF8B-3933-49C3-A947-D1F61AFB126A}" srcOrd="0" destOrd="0" presId="urn:microsoft.com/office/officeart/2005/8/layout/process1"/>
    <dgm:cxn modelId="{EEE3AB74-857E-4DC8-9192-7411B030A452}" type="presParOf" srcId="{3E52C5B8-BAFE-4E79-9A57-F75F072B5884}" destId="{8FB76142-1211-482C-8F08-99122C4D65EF}" srcOrd="4" destOrd="0" presId="urn:microsoft.com/office/officeart/2005/8/layout/process1"/>
    <dgm:cxn modelId="{C68A29D8-953B-4E2E-8FEF-CB3999B47298}" type="presParOf" srcId="{3E52C5B8-BAFE-4E79-9A57-F75F072B5884}" destId="{ACCEE3A9-059C-49E3-9F06-574715A63EB0}" srcOrd="5" destOrd="0" presId="urn:microsoft.com/office/officeart/2005/8/layout/process1"/>
    <dgm:cxn modelId="{0A3F18A3-BC90-4FC3-91FA-4A883B75DE62}" type="presParOf" srcId="{ACCEE3A9-059C-49E3-9F06-574715A63EB0}" destId="{DDEC564D-C654-48FB-B94E-46B641247161}" srcOrd="0" destOrd="0" presId="urn:microsoft.com/office/officeart/2005/8/layout/process1"/>
    <dgm:cxn modelId="{44C26B07-7F6F-4420-B45F-6D17CDF3A5A5}" type="presParOf" srcId="{3E52C5B8-BAFE-4E79-9A57-F75F072B5884}" destId="{8866F7DC-0B89-4BDE-8AC5-8681E84F538E}" srcOrd="6" destOrd="0" presId="urn:microsoft.com/office/officeart/2005/8/layout/process1"/>
    <dgm:cxn modelId="{D8C814C2-A71F-49EA-839E-22DADEBE064C}" type="presParOf" srcId="{3E52C5B8-BAFE-4E79-9A57-F75F072B5884}" destId="{58B8FD0A-4F59-4B0F-A1AC-4DFBA3C1372D}" srcOrd="7" destOrd="0" presId="urn:microsoft.com/office/officeart/2005/8/layout/process1"/>
    <dgm:cxn modelId="{661CDF58-833D-4338-8992-ADF7FCC4C6A9}" type="presParOf" srcId="{58B8FD0A-4F59-4B0F-A1AC-4DFBA3C1372D}" destId="{8F48E00D-1EA6-483F-A3C1-6686EDAE0416}" srcOrd="0" destOrd="0" presId="urn:microsoft.com/office/officeart/2005/8/layout/process1"/>
    <dgm:cxn modelId="{4F3DAE19-AF23-43D6-8BF8-B7FCBB2AD5D1}" type="presParOf" srcId="{3E52C5B8-BAFE-4E79-9A57-F75F072B5884}" destId="{35932EFB-7DA8-4B45-BEA8-12DE9EAD797B}" srcOrd="8" destOrd="0" presId="urn:microsoft.com/office/officeart/2005/8/layout/process1"/>
    <dgm:cxn modelId="{706C1CFB-2151-4623-ADD4-8930475E7265}" type="presParOf" srcId="{3E52C5B8-BAFE-4E79-9A57-F75F072B5884}" destId="{7DDF81E6-D780-44E1-B09C-06E19A0AE8AE}" srcOrd="9" destOrd="0" presId="urn:microsoft.com/office/officeart/2005/8/layout/process1"/>
    <dgm:cxn modelId="{AC1BD87B-7F8D-4934-96E1-5CB760A269E1}" type="presParOf" srcId="{7DDF81E6-D780-44E1-B09C-06E19A0AE8AE}" destId="{7478CBB6-CF55-4C45-B41B-10DDF9728BEF}" srcOrd="0" destOrd="0" presId="urn:microsoft.com/office/officeart/2005/8/layout/process1"/>
    <dgm:cxn modelId="{D1EA0CA4-E6D3-4CC6-8A08-CF401C61F9B0}" type="presParOf" srcId="{3E52C5B8-BAFE-4E79-9A57-F75F072B5884}" destId="{4062AF81-232B-41F1-A7A7-8E7D19CBB2D1}" srcOrd="10" destOrd="0" presId="urn:microsoft.com/office/officeart/2005/8/layout/process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0488D1FB-4C8D-44A2-BFDF-3DE96CC3897F}" type="doc">
      <dgm:prSet loTypeId="urn:microsoft.com/office/officeart/2005/8/layout/process1" loCatId="process" qsTypeId="urn:microsoft.com/office/officeart/2005/8/quickstyle/simple3" qsCatId="simple" csTypeId="urn:microsoft.com/office/officeart/2005/8/colors/accent5_5" csCatId="accent5" phldr="1"/>
      <dgm:spPr/>
      <dgm:t>
        <a:bodyPr/>
        <a:lstStyle/>
        <a:p>
          <a:endParaRPr kumimoji="1" lang="ja-JP" altLang="en-US"/>
        </a:p>
      </dgm:t>
    </dgm:pt>
    <dgm:pt modelId="{F7C83A59-52A6-48A5-96A6-26F65368FFF4}">
      <dgm:prSet custT="1"/>
      <dgm:spPr/>
      <dgm:t>
        <a:bodyPr/>
        <a:lstStyle/>
        <a:p>
          <a:r>
            <a:rPr lang="ja-JP" altLang="en-US" sz="1400" b="0" dirty="0">
              <a:latin typeface="HG創英角ｺﾞｼｯｸUB" panose="020B0909000000000000" pitchFamily="49" charset="-128"/>
              <a:ea typeface="HG創英角ｺﾞｼｯｸUB" panose="020B0909000000000000" pitchFamily="49" charset="-128"/>
            </a:rPr>
            <a:t>収集対象ソフトウェアの洗い出し</a:t>
          </a:r>
        </a:p>
      </dgm:t>
    </dgm:pt>
    <dgm:pt modelId="{8A1B6AF2-2BF1-4529-B73F-520B7274E728}" type="parTrans" cxnId="{2912DAF5-C249-426D-952A-55AC6237AD49}">
      <dgm:prSet/>
      <dgm:spPr/>
      <dgm:t>
        <a:bodyPr/>
        <a:lstStyle/>
        <a:p>
          <a:endParaRPr lang="ja-JP" altLang="en-US" sz="1400" b="0">
            <a:solidFill>
              <a:sysClr val="windowText" lastClr="000000"/>
            </a:solidFill>
            <a:latin typeface="HG創英角ｺﾞｼｯｸUB" panose="020B0909000000000000" pitchFamily="49" charset="-128"/>
            <a:ea typeface="HG創英角ｺﾞｼｯｸUB" panose="020B0909000000000000" pitchFamily="49" charset="-128"/>
          </a:endParaRPr>
        </a:p>
      </dgm:t>
    </dgm:pt>
    <dgm:pt modelId="{8E474AD3-1DF0-4140-AD00-763D8FDED430}" type="sibTrans" cxnId="{2912DAF5-C249-426D-952A-55AC6237AD49}">
      <dgm:prSet custT="1"/>
      <dgm:spPr/>
      <dgm:t>
        <a:bodyPr/>
        <a:lstStyle/>
        <a:p>
          <a:endParaRPr lang="ja-JP" altLang="en-US" sz="1400" b="0">
            <a:solidFill>
              <a:sysClr val="windowText" lastClr="000000"/>
            </a:solidFill>
            <a:latin typeface="HG創英角ｺﾞｼｯｸUB" panose="020B0909000000000000" pitchFamily="49" charset="-128"/>
            <a:ea typeface="HG創英角ｺﾞｼｯｸUB" panose="020B0909000000000000" pitchFamily="49" charset="-128"/>
          </a:endParaRPr>
        </a:p>
      </dgm:t>
    </dgm:pt>
    <dgm:pt modelId="{17E2E63C-542D-4AD6-A17A-91B31F8FDFD2}">
      <dgm:prSet custT="1"/>
      <dgm:spPr/>
      <dgm:t>
        <a:bodyPr/>
        <a:lstStyle/>
        <a:p>
          <a:r>
            <a:rPr lang="ja-JP" altLang="en-US" sz="1400" b="0" dirty="0">
              <a:latin typeface="HG創英角ｺﾞｼｯｸUB" panose="020B0909000000000000" pitchFamily="49" charset="-128"/>
              <a:ea typeface="HG創英角ｺﾞｼｯｸUB" panose="020B0909000000000000" pitchFamily="49" charset="-128"/>
            </a:rPr>
            <a:t>バージョン関連情報を調査</a:t>
          </a:r>
        </a:p>
      </dgm:t>
    </dgm:pt>
    <dgm:pt modelId="{8F26C88B-4EE4-4C77-9B27-5D9CB9B7C8C1}" type="parTrans" cxnId="{E220CCE6-3E9D-42E1-8073-7201D6473B46}">
      <dgm:prSet/>
      <dgm:spPr/>
      <dgm:t>
        <a:bodyPr/>
        <a:lstStyle/>
        <a:p>
          <a:endParaRPr lang="ja-JP" altLang="en-US" sz="1400" b="0">
            <a:solidFill>
              <a:sysClr val="windowText" lastClr="000000"/>
            </a:solidFill>
            <a:latin typeface="HG創英角ｺﾞｼｯｸUB" panose="020B0909000000000000" pitchFamily="49" charset="-128"/>
            <a:ea typeface="HG創英角ｺﾞｼｯｸUB" panose="020B0909000000000000" pitchFamily="49" charset="-128"/>
          </a:endParaRPr>
        </a:p>
      </dgm:t>
    </dgm:pt>
    <dgm:pt modelId="{05A937B4-B313-4278-AD05-BB66B0FA30E7}" type="sibTrans" cxnId="{E220CCE6-3E9D-42E1-8073-7201D6473B46}">
      <dgm:prSet custT="1"/>
      <dgm:spPr/>
      <dgm:t>
        <a:bodyPr/>
        <a:lstStyle/>
        <a:p>
          <a:endParaRPr lang="ja-JP" altLang="en-US" sz="1400" b="0">
            <a:solidFill>
              <a:sysClr val="windowText" lastClr="000000"/>
            </a:solidFill>
            <a:latin typeface="HG創英角ｺﾞｼｯｸUB" panose="020B0909000000000000" pitchFamily="49" charset="-128"/>
            <a:ea typeface="HG創英角ｺﾞｼｯｸUB" panose="020B0909000000000000" pitchFamily="49" charset="-128"/>
          </a:endParaRPr>
        </a:p>
      </dgm:t>
    </dgm:pt>
    <dgm:pt modelId="{8D41213A-510D-4964-A134-6DCA883FBACD}">
      <dgm:prSet custT="1"/>
      <dgm:spPr/>
      <dgm:t>
        <a:bodyPr/>
        <a:lstStyle/>
        <a:p>
          <a:r>
            <a:rPr lang="ja-JP" altLang="en-US" sz="1400" b="0" dirty="0">
              <a:latin typeface="HG創英角ｺﾞｼｯｸUB" panose="020B0909000000000000" pitchFamily="49" charset="-128"/>
              <a:ea typeface="HG創英角ｺﾞｼｯｸUB" panose="020B0909000000000000" pitchFamily="49" charset="-128"/>
            </a:rPr>
            <a:t>製品ベンダサイトを調査</a:t>
          </a:r>
          <a:endParaRPr lang="en-US" altLang="ja-JP" sz="1400" b="0" dirty="0">
            <a:latin typeface="HG創英角ｺﾞｼｯｸUB" panose="020B0909000000000000" pitchFamily="49" charset="-128"/>
            <a:ea typeface="HG創英角ｺﾞｼｯｸUB" panose="020B0909000000000000" pitchFamily="49" charset="-128"/>
          </a:endParaRPr>
        </a:p>
      </dgm:t>
    </dgm:pt>
    <dgm:pt modelId="{0AD5FC09-7D8C-4EA7-B92E-F05E3A4E5DCC}" type="parTrans" cxnId="{73D8FCD0-83EF-4AA1-80AC-0AB71DFF41E8}">
      <dgm:prSet/>
      <dgm:spPr/>
      <dgm:t>
        <a:bodyPr/>
        <a:lstStyle/>
        <a:p>
          <a:endParaRPr lang="ja-JP" altLang="en-US" sz="1400" b="0">
            <a:solidFill>
              <a:sysClr val="windowText" lastClr="000000"/>
            </a:solidFill>
            <a:latin typeface="HG創英角ｺﾞｼｯｸUB" panose="020B0909000000000000" pitchFamily="49" charset="-128"/>
            <a:ea typeface="HG創英角ｺﾞｼｯｸUB" panose="020B0909000000000000" pitchFamily="49" charset="-128"/>
          </a:endParaRPr>
        </a:p>
      </dgm:t>
    </dgm:pt>
    <dgm:pt modelId="{5A56B3F3-383F-4D59-8322-4A15BD4293E3}" type="sibTrans" cxnId="{73D8FCD0-83EF-4AA1-80AC-0AB71DFF41E8}">
      <dgm:prSet custT="1"/>
      <dgm:spPr/>
      <dgm:t>
        <a:bodyPr/>
        <a:lstStyle/>
        <a:p>
          <a:endParaRPr lang="ja-JP" altLang="en-US" sz="1400" b="0">
            <a:solidFill>
              <a:sysClr val="windowText" lastClr="000000"/>
            </a:solidFill>
            <a:latin typeface="HG創英角ｺﾞｼｯｸUB" panose="020B0909000000000000" pitchFamily="49" charset="-128"/>
            <a:ea typeface="HG創英角ｺﾞｼｯｸUB" panose="020B0909000000000000" pitchFamily="49" charset="-128"/>
          </a:endParaRPr>
        </a:p>
      </dgm:t>
    </dgm:pt>
    <dgm:pt modelId="{74789E5A-C7E7-477E-84B2-017DB748EB43}">
      <dgm:prSet custT="1"/>
      <dgm:spPr/>
      <dgm:t>
        <a:bodyPr/>
        <a:lstStyle/>
        <a:p>
          <a:r>
            <a:rPr lang="ja-JP" altLang="en-US" sz="1400" b="0" dirty="0">
              <a:latin typeface="HG創英角ｺﾞｼｯｸUB" panose="020B0909000000000000" pitchFamily="49" charset="-128"/>
              <a:ea typeface="HG創英角ｺﾞｼｯｸUB" panose="020B0909000000000000" pitchFamily="49" charset="-128"/>
            </a:rPr>
            <a:t>情報収集先の絞り込み</a:t>
          </a:r>
        </a:p>
      </dgm:t>
    </dgm:pt>
    <dgm:pt modelId="{D4A4A4C8-2899-4A1E-AEC2-657977D93529}" type="parTrans" cxnId="{07C3370B-B27B-4780-B373-46CE215F5CD7}">
      <dgm:prSet/>
      <dgm:spPr/>
      <dgm:t>
        <a:bodyPr/>
        <a:lstStyle/>
        <a:p>
          <a:endParaRPr lang="ja-JP" altLang="en-US" sz="1400" b="0">
            <a:solidFill>
              <a:sysClr val="windowText" lastClr="000000"/>
            </a:solidFill>
            <a:latin typeface="HG創英角ｺﾞｼｯｸUB" panose="020B0909000000000000" pitchFamily="49" charset="-128"/>
            <a:ea typeface="HG創英角ｺﾞｼｯｸUB" panose="020B0909000000000000" pitchFamily="49" charset="-128"/>
          </a:endParaRPr>
        </a:p>
      </dgm:t>
    </dgm:pt>
    <dgm:pt modelId="{34278B4E-3AFD-44F2-BFC2-88B7377CC0C1}" type="sibTrans" cxnId="{07C3370B-B27B-4780-B373-46CE215F5CD7}">
      <dgm:prSet custT="1"/>
      <dgm:spPr/>
      <dgm:t>
        <a:bodyPr/>
        <a:lstStyle/>
        <a:p>
          <a:endParaRPr lang="ja-JP" altLang="en-US" sz="1400" b="0">
            <a:solidFill>
              <a:sysClr val="windowText" lastClr="000000"/>
            </a:solidFill>
            <a:latin typeface="HG創英角ｺﾞｼｯｸUB" panose="020B0909000000000000" pitchFamily="49" charset="-128"/>
            <a:ea typeface="HG創英角ｺﾞｼｯｸUB" panose="020B0909000000000000" pitchFamily="49" charset="-128"/>
          </a:endParaRPr>
        </a:p>
      </dgm:t>
    </dgm:pt>
    <dgm:pt modelId="{11241A9E-A0EC-4628-B826-4492F72226DF}">
      <dgm:prSet custT="1"/>
      <dgm:spPr/>
      <dgm:t>
        <a:bodyPr/>
        <a:lstStyle/>
        <a:p>
          <a:r>
            <a:rPr lang="ja-JP" altLang="en-US" sz="1400" b="0" dirty="0">
              <a:latin typeface="HG創英角ｺﾞｼｯｸUB" panose="020B0909000000000000" pitchFamily="49" charset="-128"/>
              <a:ea typeface="HG創英角ｺﾞｼｯｸUB" panose="020B0909000000000000" pitchFamily="49" charset="-128"/>
            </a:rPr>
            <a:t>対応方針の設定</a:t>
          </a:r>
        </a:p>
      </dgm:t>
    </dgm:pt>
    <dgm:pt modelId="{066DC3C9-FEE2-4F75-8E41-6CF655F8D80C}" type="parTrans" cxnId="{6E85EAB5-8F25-4B2F-BC2D-1F20A5297E14}">
      <dgm:prSet/>
      <dgm:spPr/>
      <dgm:t>
        <a:bodyPr/>
        <a:lstStyle/>
        <a:p>
          <a:endParaRPr lang="ja-JP" altLang="en-US" sz="1400" b="0">
            <a:solidFill>
              <a:sysClr val="windowText" lastClr="000000"/>
            </a:solidFill>
            <a:latin typeface="HG創英角ｺﾞｼｯｸUB" panose="020B0909000000000000" pitchFamily="49" charset="-128"/>
            <a:ea typeface="HG創英角ｺﾞｼｯｸUB" panose="020B0909000000000000" pitchFamily="49" charset="-128"/>
          </a:endParaRPr>
        </a:p>
      </dgm:t>
    </dgm:pt>
    <dgm:pt modelId="{215F7E4B-20FF-4614-AB76-EAC22F409667}" type="sibTrans" cxnId="{6E85EAB5-8F25-4B2F-BC2D-1F20A5297E14}">
      <dgm:prSet/>
      <dgm:spPr/>
      <dgm:t>
        <a:bodyPr/>
        <a:lstStyle/>
        <a:p>
          <a:endParaRPr lang="ja-JP" altLang="en-US" sz="1400" b="0">
            <a:solidFill>
              <a:sysClr val="windowText" lastClr="000000"/>
            </a:solidFill>
            <a:latin typeface="HG創英角ｺﾞｼｯｸUB" panose="020B0909000000000000" pitchFamily="49" charset="-128"/>
            <a:ea typeface="HG創英角ｺﾞｼｯｸUB" panose="020B0909000000000000" pitchFamily="49" charset="-128"/>
          </a:endParaRPr>
        </a:p>
      </dgm:t>
    </dgm:pt>
    <dgm:pt modelId="{3E52C5B8-BAFE-4E79-9A57-F75F072B5884}" type="pres">
      <dgm:prSet presAssocID="{0488D1FB-4C8D-44A2-BFDF-3DE96CC3897F}" presName="Name0" presStyleCnt="0">
        <dgm:presLayoutVars>
          <dgm:dir/>
          <dgm:resizeHandles val="exact"/>
        </dgm:presLayoutVars>
      </dgm:prSet>
      <dgm:spPr/>
    </dgm:pt>
    <dgm:pt modelId="{FFE56A2C-1CFB-44DE-AFD6-7F5E46F955E9}" type="pres">
      <dgm:prSet presAssocID="{F7C83A59-52A6-48A5-96A6-26F65368FFF4}" presName="node" presStyleLbl="node1" presStyleIdx="0" presStyleCnt="5" custScaleX="247098" custScaleY="100052">
        <dgm:presLayoutVars>
          <dgm:bulletEnabled val="1"/>
        </dgm:presLayoutVars>
      </dgm:prSet>
      <dgm:spPr/>
    </dgm:pt>
    <dgm:pt modelId="{1F5010DA-2883-4CF4-BE0B-CA3FAB5F1ED9}" type="pres">
      <dgm:prSet presAssocID="{8E474AD3-1DF0-4140-AD00-763D8FDED430}" presName="sibTrans" presStyleLbl="sibTrans2D1" presStyleIdx="0" presStyleCnt="4" custScaleX="118694"/>
      <dgm:spPr/>
    </dgm:pt>
    <dgm:pt modelId="{CCC29F3C-C21E-446A-9DDD-9DD7C82E2331}" type="pres">
      <dgm:prSet presAssocID="{8E474AD3-1DF0-4140-AD00-763D8FDED430}" presName="connectorText" presStyleLbl="sibTrans2D1" presStyleIdx="0" presStyleCnt="4"/>
      <dgm:spPr/>
    </dgm:pt>
    <dgm:pt modelId="{D60BB7DE-D7A3-497B-A448-86D0FB31F613}" type="pres">
      <dgm:prSet presAssocID="{17E2E63C-542D-4AD6-A17A-91B31F8FDFD2}" presName="node" presStyleLbl="node1" presStyleIdx="1" presStyleCnt="5" custScaleX="247098" custScaleY="100052">
        <dgm:presLayoutVars>
          <dgm:bulletEnabled val="1"/>
        </dgm:presLayoutVars>
      </dgm:prSet>
      <dgm:spPr/>
    </dgm:pt>
    <dgm:pt modelId="{1DF7FD5E-885D-4264-A113-16A13D9C1F69}" type="pres">
      <dgm:prSet presAssocID="{05A937B4-B313-4278-AD05-BB66B0FA30E7}" presName="sibTrans" presStyleLbl="sibTrans2D1" presStyleIdx="1" presStyleCnt="4" custScaleX="118694"/>
      <dgm:spPr/>
    </dgm:pt>
    <dgm:pt modelId="{3D8C1D17-7260-4E92-AF4A-19FF5EA12035}" type="pres">
      <dgm:prSet presAssocID="{05A937B4-B313-4278-AD05-BB66B0FA30E7}" presName="connectorText" presStyleLbl="sibTrans2D1" presStyleIdx="1" presStyleCnt="4"/>
      <dgm:spPr/>
    </dgm:pt>
    <dgm:pt modelId="{B1DB730F-C2EF-4E1D-A8C9-481847451E04}" type="pres">
      <dgm:prSet presAssocID="{8D41213A-510D-4964-A134-6DCA883FBACD}" presName="node" presStyleLbl="node1" presStyleIdx="2" presStyleCnt="5" custScaleX="247098" custScaleY="100052">
        <dgm:presLayoutVars>
          <dgm:bulletEnabled val="1"/>
        </dgm:presLayoutVars>
      </dgm:prSet>
      <dgm:spPr/>
    </dgm:pt>
    <dgm:pt modelId="{1D841FB9-5B53-4BA4-8262-68F853D920CD}" type="pres">
      <dgm:prSet presAssocID="{5A56B3F3-383F-4D59-8322-4A15BD4293E3}" presName="sibTrans" presStyleLbl="sibTrans2D1" presStyleIdx="2" presStyleCnt="4" custScaleX="118694"/>
      <dgm:spPr/>
    </dgm:pt>
    <dgm:pt modelId="{66C29614-1880-4023-93E2-13FDE2D36BC0}" type="pres">
      <dgm:prSet presAssocID="{5A56B3F3-383F-4D59-8322-4A15BD4293E3}" presName="connectorText" presStyleLbl="sibTrans2D1" presStyleIdx="2" presStyleCnt="4"/>
      <dgm:spPr/>
    </dgm:pt>
    <dgm:pt modelId="{7814E94C-C458-45E3-B427-E1AC3370AB03}" type="pres">
      <dgm:prSet presAssocID="{74789E5A-C7E7-477E-84B2-017DB748EB43}" presName="node" presStyleLbl="node1" presStyleIdx="3" presStyleCnt="5" custScaleX="247098" custScaleY="100052">
        <dgm:presLayoutVars>
          <dgm:bulletEnabled val="1"/>
        </dgm:presLayoutVars>
      </dgm:prSet>
      <dgm:spPr/>
    </dgm:pt>
    <dgm:pt modelId="{357ECF90-5AF5-4D3E-A316-EB0EF00F8B92}" type="pres">
      <dgm:prSet presAssocID="{34278B4E-3AFD-44F2-BFC2-88B7377CC0C1}" presName="sibTrans" presStyleLbl="sibTrans2D1" presStyleIdx="3" presStyleCnt="4" custScaleX="118694"/>
      <dgm:spPr/>
    </dgm:pt>
    <dgm:pt modelId="{1CA978F3-31FF-4C4D-BCF6-0E2232C1D17B}" type="pres">
      <dgm:prSet presAssocID="{34278B4E-3AFD-44F2-BFC2-88B7377CC0C1}" presName="connectorText" presStyleLbl="sibTrans2D1" presStyleIdx="3" presStyleCnt="4"/>
      <dgm:spPr/>
    </dgm:pt>
    <dgm:pt modelId="{208AC97D-4FDC-474E-9847-CAFE35F4B79E}" type="pres">
      <dgm:prSet presAssocID="{11241A9E-A0EC-4628-B826-4492F72226DF}" presName="node" presStyleLbl="node1" presStyleIdx="4" presStyleCnt="5" custScaleX="247098" custScaleY="100052">
        <dgm:presLayoutVars>
          <dgm:bulletEnabled val="1"/>
        </dgm:presLayoutVars>
      </dgm:prSet>
      <dgm:spPr/>
    </dgm:pt>
  </dgm:ptLst>
  <dgm:cxnLst>
    <dgm:cxn modelId="{012E4905-6F47-4DD6-A63B-A444540FAAC3}" type="presOf" srcId="{8E474AD3-1DF0-4140-AD00-763D8FDED430}" destId="{1F5010DA-2883-4CF4-BE0B-CA3FAB5F1ED9}" srcOrd="0" destOrd="0" presId="urn:microsoft.com/office/officeart/2005/8/layout/process1"/>
    <dgm:cxn modelId="{07C3370B-B27B-4780-B373-46CE215F5CD7}" srcId="{0488D1FB-4C8D-44A2-BFDF-3DE96CC3897F}" destId="{74789E5A-C7E7-477E-84B2-017DB748EB43}" srcOrd="3" destOrd="0" parTransId="{D4A4A4C8-2899-4A1E-AEC2-657977D93529}" sibTransId="{34278B4E-3AFD-44F2-BFC2-88B7377CC0C1}"/>
    <dgm:cxn modelId="{4B04430E-3CCB-4822-BB24-53F9839E087F}" type="presOf" srcId="{5A56B3F3-383F-4D59-8322-4A15BD4293E3}" destId="{66C29614-1880-4023-93E2-13FDE2D36BC0}" srcOrd="1" destOrd="0" presId="urn:microsoft.com/office/officeart/2005/8/layout/process1"/>
    <dgm:cxn modelId="{2AF5961C-0BC7-45CD-B159-77ADDD6E48FB}" type="presOf" srcId="{05A937B4-B313-4278-AD05-BB66B0FA30E7}" destId="{3D8C1D17-7260-4E92-AF4A-19FF5EA12035}" srcOrd="1" destOrd="0" presId="urn:microsoft.com/office/officeart/2005/8/layout/process1"/>
    <dgm:cxn modelId="{74021A22-41FB-44B1-A6B7-A4A3CAF4450F}" type="presOf" srcId="{0488D1FB-4C8D-44A2-BFDF-3DE96CC3897F}" destId="{3E52C5B8-BAFE-4E79-9A57-F75F072B5884}" srcOrd="0" destOrd="0" presId="urn:microsoft.com/office/officeart/2005/8/layout/process1"/>
    <dgm:cxn modelId="{DC4FE640-D239-42F5-9B61-DE487C834A08}" type="presOf" srcId="{34278B4E-3AFD-44F2-BFC2-88B7377CC0C1}" destId="{1CA978F3-31FF-4C4D-BCF6-0E2232C1D17B}" srcOrd="1" destOrd="0" presId="urn:microsoft.com/office/officeart/2005/8/layout/process1"/>
    <dgm:cxn modelId="{0B56DD5E-5C67-4EB8-BD8E-0536324B4833}" type="presOf" srcId="{05A937B4-B313-4278-AD05-BB66B0FA30E7}" destId="{1DF7FD5E-885D-4264-A113-16A13D9C1F69}" srcOrd="0" destOrd="0" presId="urn:microsoft.com/office/officeart/2005/8/layout/process1"/>
    <dgm:cxn modelId="{CE594F61-58BC-4BD8-B139-F666910D3293}" type="presOf" srcId="{11241A9E-A0EC-4628-B826-4492F72226DF}" destId="{208AC97D-4FDC-474E-9847-CAFE35F4B79E}" srcOrd="0" destOrd="0" presId="urn:microsoft.com/office/officeart/2005/8/layout/process1"/>
    <dgm:cxn modelId="{7ED4FC43-7A48-4DCF-A9C2-8C215680CDFD}" type="presOf" srcId="{8D41213A-510D-4964-A134-6DCA883FBACD}" destId="{B1DB730F-C2EF-4E1D-A8C9-481847451E04}" srcOrd="0" destOrd="0" presId="urn:microsoft.com/office/officeart/2005/8/layout/process1"/>
    <dgm:cxn modelId="{9379A64A-CC6D-4B9F-8813-9B2081181B76}" type="presOf" srcId="{5A56B3F3-383F-4D59-8322-4A15BD4293E3}" destId="{1D841FB9-5B53-4BA4-8262-68F853D920CD}" srcOrd="0" destOrd="0" presId="urn:microsoft.com/office/officeart/2005/8/layout/process1"/>
    <dgm:cxn modelId="{67DC2486-B2F1-4EB1-AFA2-83069CB6DE1D}" type="presOf" srcId="{17E2E63C-542D-4AD6-A17A-91B31F8FDFD2}" destId="{D60BB7DE-D7A3-497B-A448-86D0FB31F613}" srcOrd="0" destOrd="0" presId="urn:microsoft.com/office/officeart/2005/8/layout/process1"/>
    <dgm:cxn modelId="{F7E5A8A8-9175-4240-A7F9-04B0E6648C3D}" type="presOf" srcId="{34278B4E-3AFD-44F2-BFC2-88B7377CC0C1}" destId="{357ECF90-5AF5-4D3E-A316-EB0EF00F8B92}" srcOrd="0" destOrd="0" presId="urn:microsoft.com/office/officeart/2005/8/layout/process1"/>
    <dgm:cxn modelId="{2D6EEEB0-05CC-4ED6-A1E9-8D56BF199A6E}" type="presOf" srcId="{F7C83A59-52A6-48A5-96A6-26F65368FFF4}" destId="{FFE56A2C-1CFB-44DE-AFD6-7F5E46F955E9}" srcOrd="0" destOrd="0" presId="urn:microsoft.com/office/officeart/2005/8/layout/process1"/>
    <dgm:cxn modelId="{D5BBE9B4-3DE9-4D4C-87C8-731C8A0981D0}" type="presOf" srcId="{8E474AD3-1DF0-4140-AD00-763D8FDED430}" destId="{CCC29F3C-C21E-446A-9DDD-9DD7C82E2331}" srcOrd="1" destOrd="0" presId="urn:microsoft.com/office/officeart/2005/8/layout/process1"/>
    <dgm:cxn modelId="{6E85EAB5-8F25-4B2F-BC2D-1F20A5297E14}" srcId="{0488D1FB-4C8D-44A2-BFDF-3DE96CC3897F}" destId="{11241A9E-A0EC-4628-B826-4492F72226DF}" srcOrd="4" destOrd="0" parTransId="{066DC3C9-FEE2-4F75-8E41-6CF655F8D80C}" sibTransId="{215F7E4B-20FF-4614-AB76-EAC22F409667}"/>
    <dgm:cxn modelId="{AE7C0AC0-EAD9-4AE0-9CD0-C8C48500CD84}" type="presOf" srcId="{74789E5A-C7E7-477E-84B2-017DB748EB43}" destId="{7814E94C-C458-45E3-B427-E1AC3370AB03}" srcOrd="0" destOrd="0" presId="urn:microsoft.com/office/officeart/2005/8/layout/process1"/>
    <dgm:cxn modelId="{73D8FCD0-83EF-4AA1-80AC-0AB71DFF41E8}" srcId="{0488D1FB-4C8D-44A2-BFDF-3DE96CC3897F}" destId="{8D41213A-510D-4964-A134-6DCA883FBACD}" srcOrd="2" destOrd="0" parTransId="{0AD5FC09-7D8C-4EA7-B92E-F05E3A4E5DCC}" sibTransId="{5A56B3F3-383F-4D59-8322-4A15BD4293E3}"/>
    <dgm:cxn modelId="{E220CCE6-3E9D-42E1-8073-7201D6473B46}" srcId="{0488D1FB-4C8D-44A2-BFDF-3DE96CC3897F}" destId="{17E2E63C-542D-4AD6-A17A-91B31F8FDFD2}" srcOrd="1" destOrd="0" parTransId="{8F26C88B-4EE4-4C77-9B27-5D9CB9B7C8C1}" sibTransId="{05A937B4-B313-4278-AD05-BB66B0FA30E7}"/>
    <dgm:cxn modelId="{2912DAF5-C249-426D-952A-55AC6237AD49}" srcId="{0488D1FB-4C8D-44A2-BFDF-3DE96CC3897F}" destId="{F7C83A59-52A6-48A5-96A6-26F65368FFF4}" srcOrd="0" destOrd="0" parTransId="{8A1B6AF2-2BF1-4529-B73F-520B7274E728}" sibTransId="{8E474AD3-1DF0-4140-AD00-763D8FDED430}"/>
    <dgm:cxn modelId="{8666EB53-E168-4657-A467-FE1D666A8F09}" type="presParOf" srcId="{3E52C5B8-BAFE-4E79-9A57-F75F072B5884}" destId="{FFE56A2C-1CFB-44DE-AFD6-7F5E46F955E9}" srcOrd="0" destOrd="0" presId="urn:microsoft.com/office/officeart/2005/8/layout/process1"/>
    <dgm:cxn modelId="{AAB5DA39-F8C1-417A-AC34-F5CE2FDE841A}" type="presParOf" srcId="{3E52C5B8-BAFE-4E79-9A57-F75F072B5884}" destId="{1F5010DA-2883-4CF4-BE0B-CA3FAB5F1ED9}" srcOrd="1" destOrd="0" presId="urn:microsoft.com/office/officeart/2005/8/layout/process1"/>
    <dgm:cxn modelId="{C14325C5-CF16-445B-9F7B-8B55E7E5264A}" type="presParOf" srcId="{1F5010DA-2883-4CF4-BE0B-CA3FAB5F1ED9}" destId="{CCC29F3C-C21E-446A-9DDD-9DD7C82E2331}" srcOrd="0" destOrd="0" presId="urn:microsoft.com/office/officeart/2005/8/layout/process1"/>
    <dgm:cxn modelId="{C7D07D3A-686A-4BB9-B94E-05B64904D7A9}" type="presParOf" srcId="{3E52C5B8-BAFE-4E79-9A57-F75F072B5884}" destId="{D60BB7DE-D7A3-497B-A448-86D0FB31F613}" srcOrd="2" destOrd="0" presId="urn:microsoft.com/office/officeart/2005/8/layout/process1"/>
    <dgm:cxn modelId="{620DCE8E-6C9C-4D66-8A71-2A5DACECA4DA}" type="presParOf" srcId="{3E52C5B8-BAFE-4E79-9A57-F75F072B5884}" destId="{1DF7FD5E-885D-4264-A113-16A13D9C1F69}" srcOrd="3" destOrd="0" presId="urn:microsoft.com/office/officeart/2005/8/layout/process1"/>
    <dgm:cxn modelId="{DD0EAB5D-AAFD-4630-9445-32F3D7C41460}" type="presParOf" srcId="{1DF7FD5E-885D-4264-A113-16A13D9C1F69}" destId="{3D8C1D17-7260-4E92-AF4A-19FF5EA12035}" srcOrd="0" destOrd="0" presId="urn:microsoft.com/office/officeart/2005/8/layout/process1"/>
    <dgm:cxn modelId="{906E201B-E06A-4F3A-90CC-B098CA8AC25A}" type="presParOf" srcId="{3E52C5B8-BAFE-4E79-9A57-F75F072B5884}" destId="{B1DB730F-C2EF-4E1D-A8C9-481847451E04}" srcOrd="4" destOrd="0" presId="urn:microsoft.com/office/officeart/2005/8/layout/process1"/>
    <dgm:cxn modelId="{FF4A2A26-70CD-4292-9854-3F22E1E4BD85}" type="presParOf" srcId="{3E52C5B8-BAFE-4E79-9A57-F75F072B5884}" destId="{1D841FB9-5B53-4BA4-8262-68F853D920CD}" srcOrd="5" destOrd="0" presId="urn:microsoft.com/office/officeart/2005/8/layout/process1"/>
    <dgm:cxn modelId="{408718E3-1ED7-4195-8F7A-18BBD4251CFC}" type="presParOf" srcId="{1D841FB9-5B53-4BA4-8262-68F853D920CD}" destId="{66C29614-1880-4023-93E2-13FDE2D36BC0}" srcOrd="0" destOrd="0" presId="urn:microsoft.com/office/officeart/2005/8/layout/process1"/>
    <dgm:cxn modelId="{CFAE5EA5-0072-40B5-A0EF-CA3E06B01D0D}" type="presParOf" srcId="{3E52C5B8-BAFE-4E79-9A57-F75F072B5884}" destId="{7814E94C-C458-45E3-B427-E1AC3370AB03}" srcOrd="6" destOrd="0" presId="urn:microsoft.com/office/officeart/2005/8/layout/process1"/>
    <dgm:cxn modelId="{0DB049E6-EC71-40F1-B958-B6054757A5F7}" type="presParOf" srcId="{3E52C5B8-BAFE-4E79-9A57-F75F072B5884}" destId="{357ECF90-5AF5-4D3E-A316-EB0EF00F8B92}" srcOrd="7" destOrd="0" presId="urn:microsoft.com/office/officeart/2005/8/layout/process1"/>
    <dgm:cxn modelId="{0A937524-4326-4325-ADC4-B079528755A6}" type="presParOf" srcId="{357ECF90-5AF5-4D3E-A316-EB0EF00F8B92}" destId="{1CA978F3-31FF-4C4D-BCF6-0E2232C1D17B}" srcOrd="0" destOrd="0" presId="urn:microsoft.com/office/officeart/2005/8/layout/process1"/>
    <dgm:cxn modelId="{9E1BDAA2-DDAB-434D-A321-413806A8F9A0}" type="presParOf" srcId="{3E52C5B8-BAFE-4E79-9A57-F75F072B5884}" destId="{208AC97D-4FDC-474E-9847-CAFE35F4B79E}" srcOrd="8" destOrd="0" presId="urn:microsoft.com/office/officeart/2005/8/layout/process1"/>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0488D1FB-4C8D-44A2-BFDF-3DE96CC3897F}" type="doc">
      <dgm:prSet loTypeId="urn:microsoft.com/office/officeart/2005/8/layout/process1" loCatId="process" qsTypeId="urn:microsoft.com/office/officeart/2005/8/quickstyle/simple3" qsCatId="simple" csTypeId="urn:microsoft.com/office/officeart/2005/8/colors/accent6_5" csCatId="accent6" phldr="1"/>
      <dgm:spPr/>
      <dgm:t>
        <a:bodyPr/>
        <a:lstStyle/>
        <a:p>
          <a:endParaRPr kumimoji="1" lang="ja-JP" altLang="en-US"/>
        </a:p>
      </dgm:t>
    </dgm:pt>
    <dgm:pt modelId="{F7C83A59-52A6-48A5-96A6-26F65368FFF4}">
      <dgm:prSet custT="1"/>
      <dgm:spPr/>
      <dgm:t>
        <a:bodyPr/>
        <a:lstStyle/>
        <a:p>
          <a:pPr algn="ctr"/>
          <a:r>
            <a:rPr lang="ja-JP" altLang="en-US" sz="1400" b="0" dirty="0">
              <a:latin typeface="HG創英角ｺﾞｼｯｸUB" panose="020B0909000000000000" pitchFamily="49" charset="-128"/>
              <a:ea typeface="HG創英角ｺﾞｼｯｸUB" panose="020B0909000000000000" pitchFamily="49" charset="-128"/>
            </a:rPr>
            <a:t>ソフトウェアの再確認</a:t>
          </a:r>
        </a:p>
      </dgm:t>
    </dgm:pt>
    <dgm:pt modelId="{8A1B6AF2-2BF1-4529-B73F-520B7274E728}" type="parTrans" cxnId="{2912DAF5-C249-426D-952A-55AC6237AD49}">
      <dgm:prSet/>
      <dgm:spPr/>
      <dgm:t>
        <a:bodyPr/>
        <a:lstStyle/>
        <a:p>
          <a:pPr algn="ctr"/>
          <a:endParaRPr lang="ja-JP" altLang="en-US" sz="1400" b="0">
            <a:solidFill>
              <a:sysClr val="windowText" lastClr="000000"/>
            </a:solidFill>
            <a:latin typeface="HG創英角ｺﾞｼｯｸUB" panose="020B0909000000000000" pitchFamily="49" charset="-128"/>
            <a:ea typeface="HG創英角ｺﾞｼｯｸUB" panose="020B0909000000000000" pitchFamily="49" charset="-128"/>
          </a:endParaRPr>
        </a:p>
      </dgm:t>
    </dgm:pt>
    <dgm:pt modelId="{8E474AD3-1DF0-4140-AD00-763D8FDED430}" type="sibTrans" cxnId="{2912DAF5-C249-426D-952A-55AC6237AD49}">
      <dgm:prSet custT="1"/>
      <dgm:spPr/>
      <dgm:t>
        <a:bodyPr/>
        <a:lstStyle/>
        <a:p>
          <a:pPr algn="ctr"/>
          <a:endParaRPr lang="ja-JP" altLang="en-US" sz="1400" b="0">
            <a:solidFill>
              <a:sysClr val="windowText" lastClr="000000"/>
            </a:solidFill>
            <a:latin typeface="HG創英角ｺﾞｼｯｸUB" panose="020B0909000000000000" pitchFamily="49" charset="-128"/>
            <a:ea typeface="HG創英角ｺﾞｼｯｸUB" panose="020B0909000000000000" pitchFamily="49" charset="-128"/>
          </a:endParaRPr>
        </a:p>
      </dgm:t>
    </dgm:pt>
    <dgm:pt modelId="{8D41213A-510D-4964-A134-6DCA883FBACD}">
      <dgm:prSet custT="1"/>
      <dgm:spPr/>
      <dgm:t>
        <a:bodyPr/>
        <a:lstStyle/>
        <a:p>
          <a:pPr algn="ctr"/>
          <a:r>
            <a:rPr lang="ja-JP" altLang="en-US" sz="1400" b="0" dirty="0">
              <a:latin typeface="HG創英角ｺﾞｼｯｸUB" panose="020B0909000000000000" pitchFamily="49" charset="-128"/>
              <a:ea typeface="HG創英角ｺﾞｼｯｸUB" panose="020B0909000000000000" pitchFamily="49" charset="-128"/>
            </a:rPr>
            <a:t>情報収集</a:t>
          </a:r>
          <a:endParaRPr lang="en-US" altLang="ja-JP" sz="1400" b="0" dirty="0">
            <a:latin typeface="HG創英角ｺﾞｼｯｸUB" panose="020B0909000000000000" pitchFamily="49" charset="-128"/>
            <a:ea typeface="HG創英角ｺﾞｼｯｸUB" panose="020B0909000000000000" pitchFamily="49" charset="-128"/>
          </a:endParaRPr>
        </a:p>
      </dgm:t>
    </dgm:pt>
    <dgm:pt modelId="{0AD5FC09-7D8C-4EA7-B92E-F05E3A4E5DCC}" type="parTrans" cxnId="{73D8FCD0-83EF-4AA1-80AC-0AB71DFF41E8}">
      <dgm:prSet/>
      <dgm:spPr/>
      <dgm:t>
        <a:bodyPr/>
        <a:lstStyle/>
        <a:p>
          <a:pPr algn="ctr"/>
          <a:endParaRPr lang="ja-JP" altLang="en-US" sz="1400" b="0">
            <a:solidFill>
              <a:sysClr val="windowText" lastClr="000000"/>
            </a:solidFill>
            <a:latin typeface="HG創英角ｺﾞｼｯｸUB" panose="020B0909000000000000" pitchFamily="49" charset="-128"/>
            <a:ea typeface="HG創英角ｺﾞｼｯｸUB" panose="020B0909000000000000" pitchFamily="49" charset="-128"/>
          </a:endParaRPr>
        </a:p>
      </dgm:t>
    </dgm:pt>
    <dgm:pt modelId="{5A56B3F3-383F-4D59-8322-4A15BD4293E3}" type="sibTrans" cxnId="{73D8FCD0-83EF-4AA1-80AC-0AB71DFF41E8}">
      <dgm:prSet custT="1"/>
      <dgm:spPr/>
      <dgm:t>
        <a:bodyPr/>
        <a:lstStyle/>
        <a:p>
          <a:pPr algn="ctr"/>
          <a:endParaRPr lang="ja-JP" altLang="en-US" sz="1400" b="0">
            <a:solidFill>
              <a:sysClr val="windowText" lastClr="000000"/>
            </a:solidFill>
            <a:latin typeface="HG創英角ｺﾞｼｯｸUB" panose="020B0909000000000000" pitchFamily="49" charset="-128"/>
            <a:ea typeface="HG創英角ｺﾞｼｯｸUB" panose="020B0909000000000000" pitchFamily="49" charset="-128"/>
          </a:endParaRPr>
        </a:p>
      </dgm:t>
    </dgm:pt>
    <dgm:pt modelId="{EFFBE79A-8D14-44CA-8D76-9CBB5F1ABE8B}">
      <dgm:prSet custT="1"/>
      <dgm:spPr/>
      <dgm:t>
        <a:bodyPr/>
        <a:lstStyle/>
        <a:p>
          <a:pPr algn="ctr"/>
          <a:r>
            <a:rPr lang="ja-JP" altLang="en-US" sz="1400" b="0" dirty="0">
              <a:latin typeface="HG創英角ｺﾞｼｯｸUB" panose="020B0909000000000000" pitchFamily="49" charset="-128"/>
              <a:ea typeface="HG創英角ｺﾞｼｯｸUB" panose="020B0909000000000000" pitchFamily="49" charset="-128"/>
            </a:rPr>
            <a:t>脆弱性対策の適用判断</a:t>
          </a:r>
        </a:p>
      </dgm:t>
    </dgm:pt>
    <dgm:pt modelId="{14CF5446-FF4D-4814-BEC5-4DE35A2AD0EC}" type="parTrans" cxnId="{08EE0E98-CBAD-4CB8-9F59-343C2C268B77}">
      <dgm:prSet/>
      <dgm:spPr/>
      <dgm:t>
        <a:bodyPr/>
        <a:lstStyle/>
        <a:p>
          <a:pPr algn="ctr"/>
          <a:endParaRPr lang="ja-JP" altLang="en-US" sz="1400" b="0">
            <a:solidFill>
              <a:sysClr val="windowText" lastClr="000000"/>
            </a:solidFill>
            <a:latin typeface="HG創英角ｺﾞｼｯｸUB" panose="020B0909000000000000" pitchFamily="49" charset="-128"/>
            <a:ea typeface="HG創英角ｺﾞｼｯｸUB" panose="020B0909000000000000" pitchFamily="49" charset="-128"/>
          </a:endParaRPr>
        </a:p>
      </dgm:t>
    </dgm:pt>
    <dgm:pt modelId="{1BFE59C2-3E36-471F-AE7F-B97A55E3D58E}" type="sibTrans" cxnId="{08EE0E98-CBAD-4CB8-9F59-343C2C268B77}">
      <dgm:prSet custT="1"/>
      <dgm:spPr/>
      <dgm:t>
        <a:bodyPr/>
        <a:lstStyle/>
        <a:p>
          <a:pPr algn="ctr"/>
          <a:endParaRPr lang="ja-JP" altLang="en-US" sz="1400" b="0">
            <a:solidFill>
              <a:sysClr val="windowText" lastClr="000000"/>
            </a:solidFill>
            <a:latin typeface="HG創英角ｺﾞｼｯｸUB" panose="020B0909000000000000" pitchFamily="49" charset="-128"/>
            <a:ea typeface="HG創英角ｺﾞｼｯｸUB" panose="020B0909000000000000" pitchFamily="49" charset="-128"/>
          </a:endParaRPr>
        </a:p>
      </dgm:t>
    </dgm:pt>
    <dgm:pt modelId="{383EE9C1-3381-4926-8180-8756FD61210B}">
      <dgm:prSet custT="1"/>
      <dgm:spPr/>
      <dgm:t>
        <a:bodyPr/>
        <a:lstStyle/>
        <a:p>
          <a:pPr algn="ctr"/>
          <a:r>
            <a:rPr lang="ja-JP" altLang="en-US" sz="1400" b="0" baseline="0">
              <a:solidFill>
                <a:schemeClr val="dk1"/>
              </a:solidFill>
              <a:effectLst/>
              <a:latin typeface="HG創英角ｺﾞｼｯｸUB" panose="020B0909000000000000" pitchFamily="49" charset="-128"/>
              <a:ea typeface="HG創英角ｺﾞｼｯｸUB" panose="020B0909000000000000" pitchFamily="49" charset="-128"/>
              <a:cs typeface="+mn-cs"/>
            </a:rPr>
            <a:t>脆弱性の影響度確認</a:t>
          </a:r>
          <a:endParaRPr lang="ja-JP" altLang="en-US" sz="1400" b="0" dirty="0">
            <a:latin typeface="HG創英角ｺﾞｼｯｸUB" panose="020B0909000000000000" pitchFamily="49" charset="-128"/>
            <a:ea typeface="HG創英角ｺﾞｼｯｸUB" panose="020B0909000000000000" pitchFamily="49" charset="-128"/>
          </a:endParaRPr>
        </a:p>
      </dgm:t>
    </dgm:pt>
    <dgm:pt modelId="{E862BE14-98FE-4350-87C9-FC1EC6AF134E}" type="sibTrans" cxnId="{35ACF8FE-D833-404E-A675-FFBAE548226F}">
      <dgm:prSet custT="1"/>
      <dgm:spPr/>
      <dgm:t>
        <a:bodyPr/>
        <a:lstStyle/>
        <a:p>
          <a:pPr algn="ctr"/>
          <a:endParaRPr lang="ja-JP" altLang="en-US" sz="1400" b="0">
            <a:solidFill>
              <a:sysClr val="windowText" lastClr="000000"/>
            </a:solidFill>
            <a:latin typeface="HG創英角ｺﾞｼｯｸUB" panose="020B0909000000000000" pitchFamily="49" charset="-128"/>
            <a:ea typeface="HG創英角ｺﾞｼｯｸUB" panose="020B0909000000000000" pitchFamily="49" charset="-128"/>
          </a:endParaRPr>
        </a:p>
      </dgm:t>
    </dgm:pt>
    <dgm:pt modelId="{15907FD7-55A7-457F-AE10-A5C69F903BB7}" type="parTrans" cxnId="{35ACF8FE-D833-404E-A675-FFBAE548226F}">
      <dgm:prSet/>
      <dgm:spPr/>
      <dgm:t>
        <a:bodyPr/>
        <a:lstStyle/>
        <a:p>
          <a:pPr algn="ctr"/>
          <a:endParaRPr lang="ja-JP" altLang="en-US" sz="1400" b="0">
            <a:solidFill>
              <a:sysClr val="windowText" lastClr="000000"/>
            </a:solidFill>
            <a:latin typeface="HG創英角ｺﾞｼｯｸUB" panose="020B0909000000000000" pitchFamily="49" charset="-128"/>
            <a:ea typeface="HG創英角ｺﾞｼｯｸUB" panose="020B0909000000000000" pitchFamily="49" charset="-128"/>
          </a:endParaRPr>
        </a:p>
      </dgm:t>
    </dgm:pt>
    <dgm:pt modelId="{44F6DA53-EBE8-47EB-8C8B-3785B293D235}">
      <dgm:prSet custT="1"/>
      <dgm:spPr/>
      <dgm:t>
        <a:bodyPr/>
        <a:lstStyle/>
        <a:p>
          <a:pPr algn="ctr"/>
          <a:r>
            <a:rPr lang="ja-JP" altLang="en-US" sz="1400" b="0" dirty="0">
              <a:latin typeface="HG創英角ｺﾞｼｯｸUB" panose="020B0909000000000000" pitchFamily="49" charset="-128"/>
              <a:ea typeface="HG創英角ｺﾞｼｯｸUB" panose="020B0909000000000000" pitchFamily="49" charset="-128"/>
            </a:rPr>
            <a:t>バージョンの確認</a:t>
          </a:r>
        </a:p>
      </dgm:t>
    </dgm:pt>
    <dgm:pt modelId="{68A5B1E3-DAC5-4D8E-A922-5C03B5BA8534}" type="parTrans" cxnId="{65BE8D15-1B00-4B75-AD59-592D3C6F257A}">
      <dgm:prSet/>
      <dgm:spPr/>
      <dgm:t>
        <a:bodyPr/>
        <a:lstStyle/>
        <a:p>
          <a:pPr algn="ctr"/>
          <a:endParaRPr kumimoji="1" lang="ja-JP" altLang="en-US" sz="1400"/>
        </a:p>
      </dgm:t>
    </dgm:pt>
    <dgm:pt modelId="{9E4405ED-4D31-44C3-99AF-13E9D51F82A0}" type="sibTrans" cxnId="{65BE8D15-1B00-4B75-AD59-592D3C6F257A}">
      <dgm:prSet custT="1"/>
      <dgm:spPr/>
      <dgm:t>
        <a:bodyPr/>
        <a:lstStyle/>
        <a:p>
          <a:pPr algn="ctr"/>
          <a:endParaRPr kumimoji="1" lang="ja-JP" altLang="en-US" sz="1400"/>
        </a:p>
      </dgm:t>
    </dgm:pt>
    <dgm:pt modelId="{3E52C5B8-BAFE-4E79-9A57-F75F072B5884}" type="pres">
      <dgm:prSet presAssocID="{0488D1FB-4C8D-44A2-BFDF-3DE96CC3897F}" presName="Name0" presStyleCnt="0">
        <dgm:presLayoutVars>
          <dgm:dir/>
          <dgm:resizeHandles val="exact"/>
        </dgm:presLayoutVars>
      </dgm:prSet>
      <dgm:spPr/>
    </dgm:pt>
    <dgm:pt modelId="{FFE56A2C-1CFB-44DE-AFD6-7F5E46F955E9}" type="pres">
      <dgm:prSet presAssocID="{F7C83A59-52A6-48A5-96A6-26F65368FFF4}" presName="node" presStyleLbl="node1" presStyleIdx="0" presStyleCnt="5" custFlipHor="1" custScaleX="203071" custScaleY="132506">
        <dgm:presLayoutVars>
          <dgm:bulletEnabled val="1"/>
        </dgm:presLayoutVars>
      </dgm:prSet>
      <dgm:spPr/>
    </dgm:pt>
    <dgm:pt modelId="{1F5010DA-2883-4CF4-BE0B-CA3FAB5F1ED9}" type="pres">
      <dgm:prSet presAssocID="{8E474AD3-1DF0-4140-AD00-763D8FDED430}" presName="sibTrans" presStyleLbl="sibTrans2D1" presStyleIdx="0" presStyleCnt="4" custScaleX="118694"/>
      <dgm:spPr/>
    </dgm:pt>
    <dgm:pt modelId="{CCC29F3C-C21E-446A-9DDD-9DD7C82E2331}" type="pres">
      <dgm:prSet presAssocID="{8E474AD3-1DF0-4140-AD00-763D8FDED430}" presName="connectorText" presStyleLbl="sibTrans2D1" presStyleIdx="0" presStyleCnt="4"/>
      <dgm:spPr/>
    </dgm:pt>
    <dgm:pt modelId="{FEBBF066-45AE-4AE1-8569-A53BDCE6274D}" type="pres">
      <dgm:prSet presAssocID="{44F6DA53-EBE8-47EB-8C8B-3785B293D235}" presName="node" presStyleLbl="node1" presStyleIdx="1" presStyleCnt="5" custFlipHor="1" custScaleX="203071" custScaleY="132506">
        <dgm:presLayoutVars>
          <dgm:bulletEnabled val="1"/>
        </dgm:presLayoutVars>
      </dgm:prSet>
      <dgm:spPr/>
    </dgm:pt>
    <dgm:pt modelId="{82A88EAE-80C7-4440-A8ED-D91BE25489E4}" type="pres">
      <dgm:prSet presAssocID="{9E4405ED-4D31-44C3-99AF-13E9D51F82A0}" presName="sibTrans" presStyleLbl="sibTrans2D1" presStyleIdx="1" presStyleCnt="4" custScaleX="118694"/>
      <dgm:spPr/>
    </dgm:pt>
    <dgm:pt modelId="{5FC3183C-50F8-4E31-811F-178D2A2A7BC3}" type="pres">
      <dgm:prSet presAssocID="{9E4405ED-4D31-44C3-99AF-13E9D51F82A0}" presName="connectorText" presStyleLbl="sibTrans2D1" presStyleIdx="1" presStyleCnt="4"/>
      <dgm:spPr/>
    </dgm:pt>
    <dgm:pt modelId="{B1DB730F-C2EF-4E1D-A8C9-481847451E04}" type="pres">
      <dgm:prSet presAssocID="{8D41213A-510D-4964-A134-6DCA883FBACD}" presName="node" presStyleLbl="node1" presStyleIdx="2" presStyleCnt="5" custFlipHor="1" custScaleX="203071" custScaleY="132506">
        <dgm:presLayoutVars>
          <dgm:bulletEnabled val="1"/>
        </dgm:presLayoutVars>
      </dgm:prSet>
      <dgm:spPr/>
    </dgm:pt>
    <dgm:pt modelId="{1D841FB9-5B53-4BA4-8262-68F853D920CD}" type="pres">
      <dgm:prSet presAssocID="{5A56B3F3-383F-4D59-8322-4A15BD4293E3}" presName="sibTrans" presStyleLbl="sibTrans2D1" presStyleIdx="2" presStyleCnt="4" custScaleX="118694"/>
      <dgm:spPr/>
    </dgm:pt>
    <dgm:pt modelId="{66C29614-1880-4023-93E2-13FDE2D36BC0}" type="pres">
      <dgm:prSet presAssocID="{5A56B3F3-383F-4D59-8322-4A15BD4293E3}" presName="connectorText" presStyleLbl="sibTrans2D1" presStyleIdx="2" presStyleCnt="4"/>
      <dgm:spPr/>
    </dgm:pt>
    <dgm:pt modelId="{685FBA1C-93C2-41C5-8F46-5ADA7DB6AD5C}" type="pres">
      <dgm:prSet presAssocID="{383EE9C1-3381-4926-8180-8756FD61210B}" presName="node" presStyleLbl="node1" presStyleIdx="3" presStyleCnt="5" custFlipHor="1" custScaleX="203071" custScaleY="132506">
        <dgm:presLayoutVars>
          <dgm:bulletEnabled val="1"/>
        </dgm:presLayoutVars>
      </dgm:prSet>
      <dgm:spPr/>
    </dgm:pt>
    <dgm:pt modelId="{546F5181-ACAA-473E-88CF-B1B24CA91E6B}" type="pres">
      <dgm:prSet presAssocID="{E862BE14-98FE-4350-87C9-FC1EC6AF134E}" presName="sibTrans" presStyleLbl="sibTrans2D1" presStyleIdx="3" presStyleCnt="4" custScaleX="118694"/>
      <dgm:spPr/>
    </dgm:pt>
    <dgm:pt modelId="{2AB4E5F9-E8DE-43B4-A869-4A7DA48336D8}" type="pres">
      <dgm:prSet presAssocID="{E862BE14-98FE-4350-87C9-FC1EC6AF134E}" presName="connectorText" presStyleLbl="sibTrans2D1" presStyleIdx="3" presStyleCnt="4"/>
      <dgm:spPr/>
    </dgm:pt>
    <dgm:pt modelId="{E7572EEB-1ECF-4492-8506-86F76FEB63CA}" type="pres">
      <dgm:prSet presAssocID="{EFFBE79A-8D14-44CA-8D76-9CBB5F1ABE8B}" presName="node" presStyleLbl="node1" presStyleIdx="4" presStyleCnt="5" custFlipHor="1" custScaleX="203071" custScaleY="132506">
        <dgm:presLayoutVars>
          <dgm:bulletEnabled val="1"/>
        </dgm:presLayoutVars>
      </dgm:prSet>
      <dgm:spPr/>
    </dgm:pt>
  </dgm:ptLst>
  <dgm:cxnLst>
    <dgm:cxn modelId="{012E4905-6F47-4DD6-A63B-A444540FAAC3}" type="presOf" srcId="{8E474AD3-1DF0-4140-AD00-763D8FDED430}" destId="{1F5010DA-2883-4CF4-BE0B-CA3FAB5F1ED9}" srcOrd="0" destOrd="0" presId="urn:microsoft.com/office/officeart/2005/8/layout/process1"/>
    <dgm:cxn modelId="{306F810B-6ADF-475B-B4C1-2DB4988FF51A}" type="presOf" srcId="{9E4405ED-4D31-44C3-99AF-13E9D51F82A0}" destId="{5FC3183C-50F8-4E31-811F-178D2A2A7BC3}" srcOrd="1" destOrd="0" presId="urn:microsoft.com/office/officeart/2005/8/layout/process1"/>
    <dgm:cxn modelId="{4B04430E-3CCB-4822-BB24-53F9839E087F}" type="presOf" srcId="{5A56B3F3-383F-4D59-8322-4A15BD4293E3}" destId="{66C29614-1880-4023-93E2-13FDE2D36BC0}" srcOrd="1" destOrd="0" presId="urn:microsoft.com/office/officeart/2005/8/layout/process1"/>
    <dgm:cxn modelId="{65BE8D15-1B00-4B75-AD59-592D3C6F257A}" srcId="{0488D1FB-4C8D-44A2-BFDF-3DE96CC3897F}" destId="{44F6DA53-EBE8-47EB-8C8B-3785B293D235}" srcOrd="1" destOrd="0" parTransId="{68A5B1E3-DAC5-4D8E-A922-5C03B5BA8534}" sibTransId="{9E4405ED-4D31-44C3-99AF-13E9D51F82A0}"/>
    <dgm:cxn modelId="{74021A22-41FB-44B1-A6B7-A4A3CAF4450F}" type="presOf" srcId="{0488D1FB-4C8D-44A2-BFDF-3DE96CC3897F}" destId="{3E52C5B8-BAFE-4E79-9A57-F75F072B5884}" srcOrd="0" destOrd="0" presId="urn:microsoft.com/office/officeart/2005/8/layout/process1"/>
    <dgm:cxn modelId="{A2AC0733-ACCA-44B3-9F4F-DF208ABA6014}" type="presOf" srcId="{44F6DA53-EBE8-47EB-8C8B-3785B293D235}" destId="{FEBBF066-45AE-4AE1-8569-A53BDCE6274D}" srcOrd="0" destOrd="0" presId="urn:microsoft.com/office/officeart/2005/8/layout/process1"/>
    <dgm:cxn modelId="{7ED4FC43-7A48-4DCF-A9C2-8C215680CDFD}" type="presOf" srcId="{8D41213A-510D-4964-A134-6DCA883FBACD}" destId="{B1DB730F-C2EF-4E1D-A8C9-481847451E04}" srcOrd="0" destOrd="0" presId="urn:microsoft.com/office/officeart/2005/8/layout/process1"/>
    <dgm:cxn modelId="{9379A64A-CC6D-4B9F-8813-9B2081181B76}" type="presOf" srcId="{5A56B3F3-383F-4D59-8322-4A15BD4293E3}" destId="{1D841FB9-5B53-4BA4-8262-68F853D920CD}" srcOrd="0" destOrd="0" presId="urn:microsoft.com/office/officeart/2005/8/layout/process1"/>
    <dgm:cxn modelId="{8B240B6E-2050-44AF-8CC6-6D3837590F4F}" type="presOf" srcId="{E862BE14-98FE-4350-87C9-FC1EC6AF134E}" destId="{546F5181-ACAA-473E-88CF-B1B24CA91E6B}" srcOrd="0" destOrd="0" presId="urn:microsoft.com/office/officeart/2005/8/layout/process1"/>
    <dgm:cxn modelId="{08EE0E98-CBAD-4CB8-9F59-343C2C268B77}" srcId="{0488D1FB-4C8D-44A2-BFDF-3DE96CC3897F}" destId="{EFFBE79A-8D14-44CA-8D76-9CBB5F1ABE8B}" srcOrd="4" destOrd="0" parTransId="{14CF5446-FF4D-4814-BEC5-4DE35A2AD0EC}" sibTransId="{1BFE59C2-3E36-471F-AE7F-B97A55E3D58E}"/>
    <dgm:cxn modelId="{34E1A5AB-6A58-4826-A3FB-667AA76318A2}" type="presOf" srcId="{E862BE14-98FE-4350-87C9-FC1EC6AF134E}" destId="{2AB4E5F9-E8DE-43B4-A869-4A7DA48336D8}" srcOrd="1" destOrd="0" presId="urn:microsoft.com/office/officeart/2005/8/layout/process1"/>
    <dgm:cxn modelId="{2D6EEEB0-05CC-4ED6-A1E9-8D56BF199A6E}" type="presOf" srcId="{F7C83A59-52A6-48A5-96A6-26F65368FFF4}" destId="{FFE56A2C-1CFB-44DE-AFD6-7F5E46F955E9}" srcOrd="0" destOrd="0" presId="urn:microsoft.com/office/officeart/2005/8/layout/process1"/>
    <dgm:cxn modelId="{D5BBE9B4-3DE9-4D4C-87C8-731C8A0981D0}" type="presOf" srcId="{8E474AD3-1DF0-4140-AD00-763D8FDED430}" destId="{CCC29F3C-C21E-446A-9DDD-9DD7C82E2331}" srcOrd="1" destOrd="0" presId="urn:microsoft.com/office/officeart/2005/8/layout/process1"/>
    <dgm:cxn modelId="{2FF455CF-EE05-47B5-8301-6164A1632F63}" type="presOf" srcId="{383EE9C1-3381-4926-8180-8756FD61210B}" destId="{685FBA1C-93C2-41C5-8F46-5ADA7DB6AD5C}" srcOrd="0" destOrd="0" presId="urn:microsoft.com/office/officeart/2005/8/layout/process1"/>
    <dgm:cxn modelId="{73D8FCD0-83EF-4AA1-80AC-0AB71DFF41E8}" srcId="{0488D1FB-4C8D-44A2-BFDF-3DE96CC3897F}" destId="{8D41213A-510D-4964-A134-6DCA883FBACD}" srcOrd="2" destOrd="0" parTransId="{0AD5FC09-7D8C-4EA7-B92E-F05E3A4E5DCC}" sibTransId="{5A56B3F3-383F-4D59-8322-4A15BD4293E3}"/>
    <dgm:cxn modelId="{D8BEDAD6-FA49-4C83-8AB2-83CF88C68776}" type="presOf" srcId="{9E4405ED-4D31-44C3-99AF-13E9D51F82A0}" destId="{82A88EAE-80C7-4440-A8ED-D91BE25489E4}" srcOrd="0" destOrd="0" presId="urn:microsoft.com/office/officeart/2005/8/layout/process1"/>
    <dgm:cxn modelId="{DE09C5DF-7F25-4907-A59C-0CF94C8C7CB6}" type="presOf" srcId="{EFFBE79A-8D14-44CA-8D76-9CBB5F1ABE8B}" destId="{E7572EEB-1ECF-4492-8506-86F76FEB63CA}" srcOrd="0" destOrd="0" presId="urn:microsoft.com/office/officeart/2005/8/layout/process1"/>
    <dgm:cxn modelId="{2912DAF5-C249-426D-952A-55AC6237AD49}" srcId="{0488D1FB-4C8D-44A2-BFDF-3DE96CC3897F}" destId="{F7C83A59-52A6-48A5-96A6-26F65368FFF4}" srcOrd="0" destOrd="0" parTransId="{8A1B6AF2-2BF1-4529-B73F-520B7274E728}" sibTransId="{8E474AD3-1DF0-4140-AD00-763D8FDED430}"/>
    <dgm:cxn modelId="{35ACF8FE-D833-404E-A675-FFBAE548226F}" srcId="{0488D1FB-4C8D-44A2-BFDF-3DE96CC3897F}" destId="{383EE9C1-3381-4926-8180-8756FD61210B}" srcOrd="3" destOrd="0" parTransId="{15907FD7-55A7-457F-AE10-A5C69F903BB7}" sibTransId="{E862BE14-98FE-4350-87C9-FC1EC6AF134E}"/>
    <dgm:cxn modelId="{8666EB53-E168-4657-A467-FE1D666A8F09}" type="presParOf" srcId="{3E52C5B8-BAFE-4E79-9A57-F75F072B5884}" destId="{FFE56A2C-1CFB-44DE-AFD6-7F5E46F955E9}" srcOrd="0" destOrd="0" presId="urn:microsoft.com/office/officeart/2005/8/layout/process1"/>
    <dgm:cxn modelId="{AAB5DA39-F8C1-417A-AC34-F5CE2FDE841A}" type="presParOf" srcId="{3E52C5B8-BAFE-4E79-9A57-F75F072B5884}" destId="{1F5010DA-2883-4CF4-BE0B-CA3FAB5F1ED9}" srcOrd="1" destOrd="0" presId="urn:microsoft.com/office/officeart/2005/8/layout/process1"/>
    <dgm:cxn modelId="{C14325C5-CF16-445B-9F7B-8B55E7E5264A}" type="presParOf" srcId="{1F5010DA-2883-4CF4-BE0B-CA3FAB5F1ED9}" destId="{CCC29F3C-C21E-446A-9DDD-9DD7C82E2331}" srcOrd="0" destOrd="0" presId="urn:microsoft.com/office/officeart/2005/8/layout/process1"/>
    <dgm:cxn modelId="{E1CF0228-D5E1-4629-A77E-22442A84CC18}" type="presParOf" srcId="{3E52C5B8-BAFE-4E79-9A57-F75F072B5884}" destId="{FEBBF066-45AE-4AE1-8569-A53BDCE6274D}" srcOrd="2" destOrd="0" presId="urn:microsoft.com/office/officeart/2005/8/layout/process1"/>
    <dgm:cxn modelId="{0C0AFFB7-F088-4BB8-876E-C40D540CFB63}" type="presParOf" srcId="{3E52C5B8-BAFE-4E79-9A57-F75F072B5884}" destId="{82A88EAE-80C7-4440-A8ED-D91BE25489E4}" srcOrd="3" destOrd="0" presId="urn:microsoft.com/office/officeart/2005/8/layout/process1"/>
    <dgm:cxn modelId="{68509DE2-575B-4B9F-BF97-148C8660F20D}" type="presParOf" srcId="{82A88EAE-80C7-4440-A8ED-D91BE25489E4}" destId="{5FC3183C-50F8-4E31-811F-178D2A2A7BC3}" srcOrd="0" destOrd="0" presId="urn:microsoft.com/office/officeart/2005/8/layout/process1"/>
    <dgm:cxn modelId="{906E201B-E06A-4F3A-90CC-B098CA8AC25A}" type="presParOf" srcId="{3E52C5B8-BAFE-4E79-9A57-F75F072B5884}" destId="{B1DB730F-C2EF-4E1D-A8C9-481847451E04}" srcOrd="4" destOrd="0" presId="urn:microsoft.com/office/officeart/2005/8/layout/process1"/>
    <dgm:cxn modelId="{FF4A2A26-70CD-4292-9854-3F22E1E4BD85}" type="presParOf" srcId="{3E52C5B8-BAFE-4E79-9A57-F75F072B5884}" destId="{1D841FB9-5B53-4BA4-8262-68F853D920CD}" srcOrd="5" destOrd="0" presId="urn:microsoft.com/office/officeart/2005/8/layout/process1"/>
    <dgm:cxn modelId="{408718E3-1ED7-4195-8F7A-18BBD4251CFC}" type="presParOf" srcId="{1D841FB9-5B53-4BA4-8262-68F853D920CD}" destId="{66C29614-1880-4023-93E2-13FDE2D36BC0}" srcOrd="0" destOrd="0" presId="urn:microsoft.com/office/officeart/2005/8/layout/process1"/>
    <dgm:cxn modelId="{BD008D3B-CF61-4634-8E11-8618AE43775D}" type="presParOf" srcId="{3E52C5B8-BAFE-4E79-9A57-F75F072B5884}" destId="{685FBA1C-93C2-41C5-8F46-5ADA7DB6AD5C}" srcOrd="6" destOrd="0" presId="urn:microsoft.com/office/officeart/2005/8/layout/process1"/>
    <dgm:cxn modelId="{7B6E4A77-2C64-4B97-89F4-5827F921E58F}" type="presParOf" srcId="{3E52C5B8-BAFE-4E79-9A57-F75F072B5884}" destId="{546F5181-ACAA-473E-88CF-B1B24CA91E6B}" srcOrd="7" destOrd="0" presId="urn:microsoft.com/office/officeart/2005/8/layout/process1"/>
    <dgm:cxn modelId="{747469AF-8DF5-4848-A766-932D25FC788C}" type="presParOf" srcId="{546F5181-ACAA-473E-88CF-B1B24CA91E6B}" destId="{2AB4E5F9-E8DE-43B4-A869-4A7DA48336D8}" srcOrd="0" destOrd="0" presId="urn:microsoft.com/office/officeart/2005/8/layout/process1"/>
    <dgm:cxn modelId="{A6CD6F8C-6A95-4081-A2EB-8BECDAA02EB5}" type="presParOf" srcId="{3E52C5B8-BAFE-4E79-9A57-F75F072B5884}" destId="{E7572EEB-1ECF-4492-8506-86F76FEB63CA}" srcOrd="8" destOrd="0" presId="urn:microsoft.com/office/officeart/2005/8/layout/process1"/>
  </dgm:cxnLst>
  <dgm:bg/>
  <dgm:whole/>
  <dgm:extLst>
    <a:ext uri="http://schemas.microsoft.com/office/drawing/2008/diagram">
      <dsp:dataModelExt xmlns:dsp="http://schemas.microsoft.com/office/drawing/2008/diagram" relId="rId15"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0488D1FB-4C8D-44A2-BFDF-3DE96CC3897F}" type="doc">
      <dgm:prSet loTypeId="urn:microsoft.com/office/officeart/2005/8/layout/process1" loCatId="process" qsTypeId="urn:microsoft.com/office/officeart/2005/8/quickstyle/simple3" qsCatId="simple" csTypeId="urn:microsoft.com/office/officeart/2005/8/colors/colorful1" csCatId="colorful" phldr="1"/>
      <dgm:spPr/>
      <dgm:t>
        <a:bodyPr/>
        <a:lstStyle/>
        <a:p>
          <a:endParaRPr kumimoji="1" lang="ja-JP" altLang="en-US"/>
        </a:p>
      </dgm:t>
    </dgm:pt>
    <dgm:pt modelId="{A38FF5F6-8CF7-4768-92FC-B849C1C3E740}">
      <dgm:prSet phldrT="[テキスト]" custT="1"/>
      <dgm:spPr>
        <a:solidFill>
          <a:schemeClr val="accent3">
            <a:lumMod val="40000"/>
            <a:lumOff val="60000"/>
          </a:schemeClr>
        </a:solidFill>
      </dgm:spPr>
      <dgm:t>
        <a:bodyPr/>
        <a:lstStyle/>
        <a:p>
          <a:r>
            <a:rPr kumimoji="1" lang="ja-JP" altLang="en-US" sz="1400" dirty="0">
              <a:latin typeface="HGP創英角ｺﾞｼｯｸUB" panose="020B0900000000000000" pitchFamily="50" charset="-128"/>
              <a:ea typeface="HGP創英角ｺﾞｼｯｸUB" panose="020B0900000000000000" pitchFamily="50" charset="-128"/>
            </a:rPr>
            <a:t>収集対象ソフトウェアの把握</a:t>
          </a:r>
        </a:p>
      </dgm:t>
    </dgm:pt>
    <dgm:pt modelId="{56BAF7FD-4901-4816-A2CA-9943EA554136}" type="parTrans" cxnId="{392D4662-ECAE-446D-97B2-21B76BCB7153}">
      <dgm:prSet/>
      <dgm:spPr/>
      <dgm:t>
        <a:bodyPr/>
        <a:lstStyle/>
        <a:p>
          <a:endParaRPr kumimoji="1" lang="ja-JP" altLang="en-US" sz="1400">
            <a:latin typeface="HGP創英角ｺﾞｼｯｸUB" panose="020B0900000000000000" pitchFamily="50" charset="-128"/>
            <a:ea typeface="HGP創英角ｺﾞｼｯｸUB" panose="020B0900000000000000" pitchFamily="50" charset="-128"/>
          </a:endParaRPr>
        </a:p>
      </dgm:t>
    </dgm:pt>
    <dgm:pt modelId="{76D49151-69C2-4253-8494-DE1E7EF625FB}" type="sibTrans" cxnId="{392D4662-ECAE-446D-97B2-21B76BCB7153}">
      <dgm:prSet custT="1"/>
      <dgm:spPr/>
      <dgm:t>
        <a:bodyPr/>
        <a:lstStyle/>
        <a:p>
          <a:endParaRPr kumimoji="1" lang="ja-JP" altLang="en-US" sz="1400">
            <a:latin typeface="HGP創英角ｺﾞｼｯｸUB" panose="020B0900000000000000" pitchFamily="50" charset="-128"/>
            <a:ea typeface="HGP創英角ｺﾞｼｯｸUB" panose="020B0900000000000000" pitchFamily="50" charset="-128"/>
          </a:endParaRPr>
        </a:p>
      </dgm:t>
    </dgm:pt>
    <dgm:pt modelId="{0BE00328-149D-44F2-AF3E-2D206A77FBF9}">
      <dgm:prSet phldrT="[テキスト]" custT="1"/>
      <dgm:spPr>
        <a:solidFill>
          <a:schemeClr val="accent5">
            <a:lumMod val="40000"/>
            <a:lumOff val="60000"/>
          </a:schemeClr>
        </a:solidFill>
      </dgm:spPr>
      <dgm:t>
        <a:bodyPr/>
        <a:lstStyle/>
        <a:p>
          <a:r>
            <a:rPr kumimoji="1" lang="ja-JP" altLang="en-US" sz="1400" dirty="0">
              <a:latin typeface="HGP創英角ｺﾞｼｯｸUB" panose="020B0900000000000000" pitchFamily="50" charset="-128"/>
              <a:ea typeface="HGP創英角ｺﾞｼｯｸUB" panose="020B0900000000000000" pitchFamily="50" charset="-128"/>
            </a:rPr>
            <a:t>脆弱性関連情報の収集</a:t>
          </a:r>
        </a:p>
      </dgm:t>
    </dgm:pt>
    <dgm:pt modelId="{9A51B1E2-5E68-45E0-8A52-DC2595D6376C}" type="parTrans" cxnId="{B11D69C5-0BA4-4476-ADB4-C54FA55E076D}">
      <dgm:prSet/>
      <dgm:spPr/>
      <dgm:t>
        <a:bodyPr/>
        <a:lstStyle/>
        <a:p>
          <a:endParaRPr kumimoji="1" lang="ja-JP" altLang="en-US" sz="1400">
            <a:latin typeface="HGP創英角ｺﾞｼｯｸUB" panose="020B0900000000000000" pitchFamily="50" charset="-128"/>
            <a:ea typeface="HGP創英角ｺﾞｼｯｸUB" panose="020B0900000000000000" pitchFamily="50" charset="-128"/>
          </a:endParaRPr>
        </a:p>
      </dgm:t>
    </dgm:pt>
    <dgm:pt modelId="{53AEEB29-69BD-4482-965D-F4A14A42675C}" type="sibTrans" cxnId="{B11D69C5-0BA4-4476-ADB4-C54FA55E076D}">
      <dgm:prSet custT="1"/>
      <dgm:spPr/>
      <dgm:t>
        <a:bodyPr/>
        <a:lstStyle/>
        <a:p>
          <a:endParaRPr kumimoji="1" lang="ja-JP" altLang="en-US" sz="1400">
            <a:latin typeface="HGP創英角ｺﾞｼｯｸUB" panose="020B0900000000000000" pitchFamily="50" charset="-128"/>
            <a:ea typeface="HGP創英角ｺﾞｼｯｸUB" panose="020B0900000000000000" pitchFamily="50" charset="-128"/>
          </a:endParaRPr>
        </a:p>
      </dgm:t>
    </dgm:pt>
    <dgm:pt modelId="{33808A98-8A65-4B9B-8A68-A2BCFDA443C1}">
      <dgm:prSet phldrT="[テキスト]" custT="1"/>
      <dgm:spPr>
        <a:solidFill>
          <a:schemeClr val="accent6">
            <a:lumMod val="40000"/>
            <a:lumOff val="60000"/>
          </a:schemeClr>
        </a:solidFill>
      </dgm:spPr>
      <dgm:t>
        <a:bodyPr/>
        <a:lstStyle/>
        <a:p>
          <a:r>
            <a:rPr kumimoji="1" lang="ja-JP" altLang="en-US" sz="1400" dirty="0">
              <a:latin typeface="HGP創英角ｺﾞｼｯｸUB" panose="020B0900000000000000" pitchFamily="50" charset="-128"/>
              <a:ea typeface="HGP創英角ｺﾞｼｯｸUB" panose="020B0900000000000000" pitchFamily="50" charset="-128"/>
            </a:rPr>
            <a:t>適用判断</a:t>
          </a:r>
          <a:endParaRPr kumimoji="1" lang="en-US" altLang="ja-JP" sz="1400" dirty="0">
            <a:latin typeface="HGP創英角ｺﾞｼｯｸUB" panose="020B0900000000000000" pitchFamily="50" charset="-128"/>
            <a:ea typeface="HGP創英角ｺﾞｼｯｸUB" panose="020B0900000000000000" pitchFamily="50" charset="-128"/>
          </a:endParaRPr>
        </a:p>
      </dgm:t>
    </dgm:pt>
    <dgm:pt modelId="{4FAE2FF5-B325-4ED2-9A3A-5C72A3E80674}" type="parTrans" cxnId="{F97974CF-E476-4089-A4A7-06A5633D73CB}">
      <dgm:prSet/>
      <dgm:spPr/>
      <dgm:t>
        <a:bodyPr/>
        <a:lstStyle/>
        <a:p>
          <a:endParaRPr kumimoji="1" lang="ja-JP" altLang="en-US" sz="1400">
            <a:latin typeface="HGP創英角ｺﾞｼｯｸUB" panose="020B0900000000000000" pitchFamily="50" charset="-128"/>
            <a:ea typeface="HGP創英角ｺﾞｼｯｸUB" panose="020B0900000000000000" pitchFamily="50" charset="-128"/>
          </a:endParaRPr>
        </a:p>
      </dgm:t>
    </dgm:pt>
    <dgm:pt modelId="{8C77C194-16BE-44D5-AF51-1A5589F0AE18}" type="sibTrans" cxnId="{F97974CF-E476-4089-A4A7-06A5633D73CB}">
      <dgm:prSet custT="1"/>
      <dgm:spPr/>
      <dgm:t>
        <a:bodyPr/>
        <a:lstStyle/>
        <a:p>
          <a:endParaRPr kumimoji="1" lang="ja-JP" altLang="en-US" sz="1400">
            <a:latin typeface="HGP創英角ｺﾞｼｯｸUB" panose="020B0900000000000000" pitchFamily="50" charset="-128"/>
            <a:ea typeface="HGP創英角ｺﾞｼｯｸUB" panose="020B0900000000000000" pitchFamily="50" charset="-128"/>
          </a:endParaRPr>
        </a:p>
      </dgm:t>
    </dgm:pt>
    <dgm:pt modelId="{0ACE2823-D3A7-46A9-B835-4E5307366DA6}">
      <dgm:prSet custT="1"/>
      <dgm:spPr>
        <a:solidFill>
          <a:srgbClr val="F7F99F"/>
        </a:solidFill>
      </dgm:spPr>
      <dgm:t>
        <a:bodyPr/>
        <a:lstStyle/>
        <a:p>
          <a:r>
            <a:rPr kumimoji="1" lang="ja-JP" altLang="en-US" sz="1400" dirty="0">
              <a:latin typeface="HGP創英角ｺﾞｼｯｸUB" panose="020B0900000000000000" pitchFamily="50" charset="-128"/>
              <a:ea typeface="HGP創英角ｺﾞｼｯｸUB" panose="020B0900000000000000" pitchFamily="50" charset="-128"/>
            </a:rPr>
            <a:t>計画</a:t>
          </a:r>
        </a:p>
      </dgm:t>
    </dgm:pt>
    <dgm:pt modelId="{46C5B7B8-7293-41D0-A5E3-DE0FE8812B45}" type="parTrans" cxnId="{A60EDA3C-7CAB-439A-8050-DB62A224A643}">
      <dgm:prSet/>
      <dgm:spPr/>
      <dgm:t>
        <a:bodyPr/>
        <a:lstStyle/>
        <a:p>
          <a:endParaRPr kumimoji="1" lang="ja-JP" altLang="en-US" sz="1400">
            <a:latin typeface="HGP創英角ｺﾞｼｯｸUB" panose="020B0900000000000000" pitchFamily="50" charset="-128"/>
            <a:ea typeface="HGP創英角ｺﾞｼｯｸUB" panose="020B0900000000000000" pitchFamily="50" charset="-128"/>
          </a:endParaRPr>
        </a:p>
      </dgm:t>
    </dgm:pt>
    <dgm:pt modelId="{0FCB5A23-AB78-4C29-B922-F73F931F5972}" type="sibTrans" cxnId="{A60EDA3C-7CAB-439A-8050-DB62A224A643}">
      <dgm:prSet custT="1"/>
      <dgm:spPr/>
      <dgm:t>
        <a:bodyPr/>
        <a:lstStyle/>
        <a:p>
          <a:endParaRPr kumimoji="1" lang="ja-JP" altLang="en-US" sz="1400">
            <a:latin typeface="HGP創英角ｺﾞｼｯｸUB" panose="020B0900000000000000" pitchFamily="50" charset="-128"/>
            <a:ea typeface="HGP創英角ｺﾞｼｯｸUB" panose="020B0900000000000000" pitchFamily="50" charset="-128"/>
          </a:endParaRPr>
        </a:p>
      </dgm:t>
    </dgm:pt>
    <dgm:pt modelId="{48215B6E-11B8-4BE8-89EE-94F3D0871A5B}">
      <dgm:prSet custT="1"/>
      <dgm:spPr>
        <a:solidFill>
          <a:schemeClr val="accent4">
            <a:lumMod val="40000"/>
            <a:lumOff val="60000"/>
          </a:schemeClr>
        </a:solidFill>
      </dgm:spPr>
      <dgm:t>
        <a:bodyPr/>
        <a:lstStyle/>
        <a:p>
          <a:r>
            <a:rPr kumimoji="1" lang="ja-JP" altLang="en-US" sz="1400" dirty="0">
              <a:latin typeface="HGP創英角ｺﾞｼｯｸUB" panose="020B0900000000000000" pitchFamily="50" charset="-128"/>
              <a:ea typeface="HGP創英角ｺﾞｼｯｸUB" panose="020B0900000000000000" pitchFamily="50" charset="-128"/>
            </a:rPr>
            <a:t>検証</a:t>
          </a:r>
        </a:p>
      </dgm:t>
    </dgm:pt>
    <dgm:pt modelId="{32564A4D-17F3-4BBE-9359-F4AAF39DCFEB}" type="parTrans" cxnId="{73B6B41E-6564-46E6-A09D-DA3D9A6361A6}">
      <dgm:prSet/>
      <dgm:spPr/>
      <dgm:t>
        <a:bodyPr/>
        <a:lstStyle/>
        <a:p>
          <a:endParaRPr kumimoji="1" lang="ja-JP" altLang="en-US" sz="1400">
            <a:latin typeface="HGP創英角ｺﾞｼｯｸUB" panose="020B0900000000000000" pitchFamily="50" charset="-128"/>
            <a:ea typeface="HGP創英角ｺﾞｼｯｸUB" panose="020B0900000000000000" pitchFamily="50" charset="-128"/>
          </a:endParaRPr>
        </a:p>
      </dgm:t>
    </dgm:pt>
    <dgm:pt modelId="{3DCA49A6-5DDC-4FD0-BFD1-52864BD50871}" type="sibTrans" cxnId="{73B6B41E-6564-46E6-A09D-DA3D9A6361A6}">
      <dgm:prSet custT="1"/>
      <dgm:spPr/>
      <dgm:t>
        <a:bodyPr/>
        <a:lstStyle/>
        <a:p>
          <a:endParaRPr kumimoji="1" lang="ja-JP" altLang="en-US" sz="1400">
            <a:latin typeface="HGP創英角ｺﾞｼｯｸUB" panose="020B0900000000000000" pitchFamily="50" charset="-128"/>
            <a:ea typeface="HGP創英角ｺﾞｼｯｸUB" panose="020B0900000000000000" pitchFamily="50" charset="-128"/>
          </a:endParaRPr>
        </a:p>
      </dgm:t>
    </dgm:pt>
    <dgm:pt modelId="{DD90207C-8B70-4321-BFFA-4A6E76FA4553}">
      <dgm:prSet custT="1"/>
      <dgm:spPr>
        <a:solidFill>
          <a:schemeClr val="accent2">
            <a:lumMod val="40000"/>
            <a:lumOff val="60000"/>
          </a:schemeClr>
        </a:solidFill>
      </dgm:spPr>
      <dgm:t>
        <a:bodyPr/>
        <a:lstStyle/>
        <a:p>
          <a:r>
            <a:rPr kumimoji="1" lang="ja-JP" altLang="en-US" sz="1400" dirty="0">
              <a:latin typeface="HGP創英角ｺﾞｼｯｸUB" panose="020B0900000000000000" pitchFamily="50" charset="-128"/>
              <a:ea typeface="HGP創英角ｺﾞｼｯｸUB" panose="020B0900000000000000" pitchFamily="50" charset="-128"/>
            </a:rPr>
            <a:t>適用</a:t>
          </a:r>
        </a:p>
      </dgm:t>
    </dgm:pt>
    <dgm:pt modelId="{A08A5BAB-7986-400D-AFCA-2F963C7B86FB}" type="parTrans" cxnId="{CC45A2E5-FAFB-4BDA-8C13-FD18783E84E7}">
      <dgm:prSet/>
      <dgm:spPr/>
      <dgm:t>
        <a:bodyPr/>
        <a:lstStyle/>
        <a:p>
          <a:endParaRPr kumimoji="1" lang="ja-JP" altLang="en-US" sz="1400">
            <a:latin typeface="HGP創英角ｺﾞｼｯｸUB" panose="020B0900000000000000" pitchFamily="50" charset="-128"/>
            <a:ea typeface="HGP創英角ｺﾞｼｯｸUB" panose="020B0900000000000000" pitchFamily="50" charset="-128"/>
          </a:endParaRPr>
        </a:p>
      </dgm:t>
    </dgm:pt>
    <dgm:pt modelId="{FAE17756-8CCC-41A0-9C20-FCED72C187EA}" type="sibTrans" cxnId="{CC45A2E5-FAFB-4BDA-8C13-FD18783E84E7}">
      <dgm:prSet/>
      <dgm:spPr/>
      <dgm:t>
        <a:bodyPr/>
        <a:lstStyle/>
        <a:p>
          <a:endParaRPr kumimoji="1" lang="ja-JP" altLang="en-US" sz="1400">
            <a:latin typeface="HGP創英角ｺﾞｼｯｸUB" panose="020B0900000000000000" pitchFamily="50" charset="-128"/>
            <a:ea typeface="HGP創英角ｺﾞｼｯｸUB" panose="020B0900000000000000" pitchFamily="50" charset="-128"/>
          </a:endParaRPr>
        </a:p>
      </dgm:t>
    </dgm:pt>
    <dgm:pt modelId="{3E52C5B8-BAFE-4E79-9A57-F75F072B5884}" type="pres">
      <dgm:prSet presAssocID="{0488D1FB-4C8D-44A2-BFDF-3DE96CC3897F}" presName="Name0" presStyleCnt="0">
        <dgm:presLayoutVars>
          <dgm:dir/>
          <dgm:resizeHandles val="exact"/>
        </dgm:presLayoutVars>
      </dgm:prSet>
      <dgm:spPr/>
    </dgm:pt>
    <dgm:pt modelId="{374FA763-7ECD-4FAA-A800-70B3EB362CAD}" type="pres">
      <dgm:prSet presAssocID="{A38FF5F6-8CF7-4768-92FC-B849C1C3E740}" presName="node" presStyleLbl="node1" presStyleIdx="0" presStyleCnt="6" custScaleX="143744" custScaleY="114883">
        <dgm:presLayoutVars>
          <dgm:bulletEnabled val="1"/>
        </dgm:presLayoutVars>
      </dgm:prSet>
      <dgm:spPr/>
    </dgm:pt>
    <dgm:pt modelId="{22BEA73F-7B67-4D7A-A87A-894A62EF485D}" type="pres">
      <dgm:prSet presAssocID="{76D49151-69C2-4253-8494-DE1E7EF625FB}" presName="sibTrans" presStyleLbl="sibTrans2D1" presStyleIdx="0" presStyleCnt="5"/>
      <dgm:spPr/>
    </dgm:pt>
    <dgm:pt modelId="{2F3D12E3-5D69-4848-A1C2-CA6CCEB0977D}" type="pres">
      <dgm:prSet presAssocID="{76D49151-69C2-4253-8494-DE1E7EF625FB}" presName="connectorText" presStyleLbl="sibTrans2D1" presStyleIdx="0" presStyleCnt="5"/>
      <dgm:spPr/>
    </dgm:pt>
    <dgm:pt modelId="{5970AAC9-3921-4383-810A-75E0C55BC9B5}" type="pres">
      <dgm:prSet presAssocID="{0BE00328-149D-44F2-AF3E-2D206A77FBF9}" presName="node" presStyleLbl="node1" presStyleIdx="1" presStyleCnt="6" custScaleX="143744" custScaleY="114883">
        <dgm:presLayoutVars>
          <dgm:bulletEnabled val="1"/>
        </dgm:presLayoutVars>
      </dgm:prSet>
      <dgm:spPr/>
    </dgm:pt>
    <dgm:pt modelId="{66D506B2-76BC-4A8A-8782-A5FF504AA659}" type="pres">
      <dgm:prSet presAssocID="{53AEEB29-69BD-4482-965D-F4A14A42675C}" presName="sibTrans" presStyleLbl="sibTrans2D1" presStyleIdx="1" presStyleCnt="5"/>
      <dgm:spPr/>
    </dgm:pt>
    <dgm:pt modelId="{59ECAF8B-3933-49C3-A947-D1F61AFB126A}" type="pres">
      <dgm:prSet presAssocID="{53AEEB29-69BD-4482-965D-F4A14A42675C}" presName="connectorText" presStyleLbl="sibTrans2D1" presStyleIdx="1" presStyleCnt="5"/>
      <dgm:spPr/>
    </dgm:pt>
    <dgm:pt modelId="{8FB76142-1211-482C-8F08-99122C4D65EF}" type="pres">
      <dgm:prSet presAssocID="{33808A98-8A65-4B9B-8A68-A2BCFDA443C1}" presName="node" presStyleLbl="node1" presStyleIdx="2" presStyleCnt="6" custScaleX="143744" custScaleY="114883">
        <dgm:presLayoutVars>
          <dgm:bulletEnabled val="1"/>
        </dgm:presLayoutVars>
      </dgm:prSet>
      <dgm:spPr/>
    </dgm:pt>
    <dgm:pt modelId="{ACCEE3A9-059C-49E3-9F06-574715A63EB0}" type="pres">
      <dgm:prSet presAssocID="{8C77C194-16BE-44D5-AF51-1A5589F0AE18}" presName="sibTrans" presStyleLbl="sibTrans2D1" presStyleIdx="2" presStyleCnt="5"/>
      <dgm:spPr/>
    </dgm:pt>
    <dgm:pt modelId="{DDEC564D-C654-48FB-B94E-46B641247161}" type="pres">
      <dgm:prSet presAssocID="{8C77C194-16BE-44D5-AF51-1A5589F0AE18}" presName="connectorText" presStyleLbl="sibTrans2D1" presStyleIdx="2" presStyleCnt="5"/>
      <dgm:spPr/>
    </dgm:pt>
    <dgm:pt modelId="{8866F7DC-0B89-4BDE-8AC5-8681E84F538E}" type="pres">
      <dgm:prSet presAssocID="{0ACE2823-D3A7-46A9-B835-4E5307366DA6}" presName="node" presStyleLbl="node1" presStyleIdx="3" presStyleCnt="6" custScaleX="143744" custScaleY="114883">
        <dgm:presLayoutVars>
          <dgm:bulletEnabled val="1"/>
        </dgm:presLayoutVars>
      </dgm:prSet>
      <dgm:spPr/>
    </dgm:pt>
    <dgm:pt modelId="{58B8FD0A-4F59-4B0F-A1AC-4DFBA3C1372D}" type="pres">
      <dgm:prSet presAssocID="{0FCB5A23-AB78-4C29-B922-F73F931F5972}" presName="sibTrans" presStyleLbl="sibTrans2D1" presStyleIdx="3" presStyleCnt="5"/>
      <dgm:spPr/>
    </dgm:pt>
    <dgm:pt modelId="{8F48E00D-1EA6-483F-A3C1-6686EDAE0416}" type="pres">
      <dgm:prSet presAssocID="{0FCB5A23-AB78-4C29-B922-F73F931F5972}" presName="connectorText" presStyleLbl="sibTrans2D1" presStyleIdx="3" presStyleCnt="5"/>
      <dgm:spPr/>
    </dgm:pt>
    <dgm:pt modelId="{35932EFB-7DA8-4B45-BEA8-12DE9EAD797B}" type="pres">
      <dgm:prSet presAssocID="{48215B6E-11B8-4BE8-89EE-94F3D0871A5B}" presName="node" presStyleLbl="node1" presStyleIdx="4" presStyleCnt="6" custScaleX="143744" custScaleY="114883">
        <dgm:presLayoutVars>
          <dgm:bulletEnabled val="1"/>
        </dgm:presLayoutVars>
      </dgm:prSet>
      <dgm:spPr/>
    </dgm:pt>
    <dgm:pt modelId="{7DDF81E6-D780-44E1-B09C-06E19A0AE8AE}" type="pres">
      <dgm:prSet presAssocID="{3DCA49A6-5DDC-4FD0-BFD1-52864BD50871}" presName="sibTrans" presStyleLbl="sibTrans2D1" presStyleIdx="4" presStyleCnt="5"/>
      <dgm:spPr/>
    </dgm:pt>
    <dgm:pt modelId="{7478CBB6-CF55-4C45-B41B-10DDF9728BEF}" type="pres">
      <dgm:prSet presAssocID="{3DCA49A6-5DDC-4FD0-BFD1-52864BD50871}" presName="connectorText" presStyleLbl="sibTrans2D1" presStyleIdx="4" presStyleCnt="5"/>
      <dgm:spPr/>
    </dgm:pt>
    <dgm:pt modelId="{4062AF81-232B-41F1-A7A7-8E7D19CBB2D1}" type="pres">
      <dgm:prSet presAssocID="{DD90207C-8B70-4321-BFFA-4A6E76FA4553}" presName="node" presStyleLbl="node1" presStyleIdx="5" presStyleCnt="6" custScaleX="143744" custScaleY="114883">
        <dgm:presLayoutVars>
          <dgm:bulletEnabled val="1"/>
        </dgm:presLayoutVars>
      </dgm:prSet>
      <dgm:spPr/>
    </dgm:pt>
  </dgm:ptLst>
  <dgm:cxnLst>
    <dgm:cxn modelId="{D4083700-3164-483D-85A4-86C92A6D96E5}" type="presOf" srcId="{48215B6E-11B8-4BE8-89EE-94F3D0871A5B}" destId="{35932EFB-7DA8-4B45-BEA8-12DE9EAD797B}" srcOrd="0" destOrd="0" presId="urn:microsoft.com/office/officeart/2005/8/layout/process1"/>
    <dgm:cxn modelId="{1674CA02-276A-492A-8790-2696CBCE2211}" type="presOf" srcId="{A38FF5F6-8CF7-4768-92FC-B849C1C3E740}" destId="{374FA763-7ECD-4FAA-A800-70B3EB362CAD}" srcOrd="0" destOrd="0" presId="urn:microsoft.com/office/officeart/2005/8/layout/process1"/>
    <dgm:cxn modelId="{73B6B41E-6564-46E6-A09D-DA3D9A6361A6}" srcId="{0488D1FB-4C8D-44A2-BFDF-3DE96CC3897F}" destId="{48215B6E-11B8-4BE8-89EE-94F3D0871A5B}" srcOrd="4" destOrd="0" parTransId="{32564A4D-17F3-4BBE-9359-F4AAF39DCFEB}" sibTransId="{3DCA49A6-5DDC-4FD0-BFD1-52864BD50871}"/>
    <dgm:cxn modelId="{74021A22-41FB-44B1-A6B7-A4A3CAF4450F}" type="presOf" srcId="{0488D1FB-4C8D-44A2-BFDF-3DE96CC3897F}" destId="{3E52C5B8-BAFE-4E79-9A57-F75F072B5884}" srcOrd="0" destOrd="0" presId="urn:microsoft.com/office/officeart/2005/8/layout/process1"/>
    <dgm:cxn modelId="{BCB45328-A358-4145-82E7-AF09EC02306A}" type="presOf" srcId="{3DCA49A6-5DDC-4FD0-BFD1-52864BD50871}" destId="{7DDF81E6-D780-44E1-B09C-06E19A0AE8AE}" srcOrd="0" destOrd="0" presId="urn:microsoft.com/office/officeart/2005/8/layout/process1"/>
    <dgm:cxn modelId="{EC143139-4A47-4406-ADA6-0264FF5900B8}" type="presOf" srcId="{33808A98-8A65-4B9B-8A68-A2BCFDA443C1}" destId="{8FB76142-1211-482C-8F08-99122C4D65EF}" srcOrd="0" destOrd="0" presId="urn:microsoft.com/office/officeart/2005/8/layout/process1"/>
    <dgm:cxn modelId="{433FCE3A-089D-4061-BD4D-DFE645629F89}" type="presOf" srcId="{0BE00328-149D-44F2-AF3E-2D206A77FBF9}" destId="{5970AAC9-3921-4383-810A-75E0C55BC9B5}" srcOrd="0" destOrd="0" presId="urn:microsoft.com/office/officeart/2005/8/layout/process1"/>
    <dgm:cxn modelId="{A60EDA3C-7CAB-439A-8050-DB62A224A643}" srcId="{0488D1FB-4C8D-44A2-BFDF-3DE96CC3897F}" destId="{0ACE2823-D3A7-46A9-B835-4E5307366DA6}" srcOrd="3" destOrd="0" parTransId="{46C5B7B8-7293-41D0-A5E3-DE0FE8812B45}" sibTransId="{0FCB5A23-AB78-4C29-B922-F73F931F5972}"/>
    <dgm:cxn modelId="{392D4662-ECAE-446D-97B2-21B76BCB7153}" srcId="{0488D1FB-4C8D-44A2-BFDF-3DE96CC3897F}" destId="{A38FF5F6-8CF7-4768-92FC-B849C1C3E740}" srcOrd="0" destOrd="0" parTransId="{56BAF7FD-4901-4816-A2CA-9943EA554136}" sibTransId="{76D49151-69C2-4253-8494-DE1E7EF625FB}"/>
    <dgm:cxn modelId="{01BFCA45-E658-456F-9CCC-B84680E3545F}" type="presOf" srcId="{3DCA49A6-5DDC-4FD0-BFD1-52864BD50871}" destId="{7478CBB6-CF55-4C45-B41B-10DDF9728BEF}" srcOrd="1" destOrd="0" presId="urn:microsoft.com/office/officeart/2005/8/layout/process1"/>
    <dgm:cxn modelId="{C8F9ED7B-8E57-42EC-8D8D-9DD129A13F1D}" type="presOf" srcId="{53AEEB29-69BD-4482-965D-F4A14A42675C}" destId="{66D506B2-76BC-4A8A-8782-A5FF504AA659}" srcOrd="0" destOrd="0" presId="urn:microsoft.com/office/officeart/2005/8/layout/process1"/>
    <dgm:cxn modelId="{A2BBA98B-5DFA-48CA-99D1-980AC07126A7}" type="presOf" srcId="{53AEEB29-69BD-4482-965D-F4A14A42675C}" destId="{59ECAF8B-3933-49C3-A947-D1F61AFB126A}" srcOrd="1" destOrd="0" presId="urn:microsoft.com/office/officeart/2005/8/layout/process1"/>
    <dgm:cxn modelId="{284F2A99-8CCE-4DD1-BFDC-25786C4BCA76}" type="presOf" srcId="{0FCB5A23-AB78-4C29-B922-F73F931F5972}" destId="{8F48E00D-1EA6-483F-A3C1-6686EDAE0416}" srcOrd="1" destOrd="0" presId="urn:microsoft.com/office/officeart/2005/8/layout/process1"/>
    <dgm:cxn modelId="{BD6FA1AB-85C0-48BB-9C39-DE192F6DE001}" type="presOf" srcId="{76D49151-69C2-4253-8494-DE1E7EF625FB}" destId="{22BEA73F-7B67-4D7A-A87A-894A62EF485D}" srcOrd="0" destOrd="0" presId="urn:microsoft.com/office/officeart/2005/8/layout/process1"/>
    <dgm:cxn modelId="{2F477DAC-E281-4314-8FBE-0049C5D3620E}" type="presOf" srcId="{8C77C194-16BE-44D5-AF51-1A5589F0AE18}" destId="{ACCEE3A9-059C-49E3-9F06-574715A63EB0}" srcOrd="0" destOrd="0" presId="urn:microsoft.com/office/officeart/2005/8/layout/process1"/>
    <dgm:cxn modelId="{9237E4B6-4956-49BE-A2E1-037FD8B9E2D9}" type="presOf" srcId="{0FCB5A23-AB78-4C29-B922-F73F931F5972}" destId="{58B8FD0A-4F59-4B0F-A1AC-4DFBA3C1372D}" srcOrd="0" destOrd="0" presId="urn:microsoft.com/office/officeart/2005/8/layout/process1"/>
    <dgm:cxn modelId="{0CAFF9C0-5A4C-4710-932D-979906FB54AC}" type="presOf" srcId="{8C77C194-16BE-44D5-AF51-1A5589F0AE18}" destId="{DDEC564D-C654-48FB-B94E-46B641247161}" srcOrd="1" destOrd="0" presId="urn:microsoft.com/office/officeart/2005/8/layout/process1"/>
    <dgm:cxn modelId="{B11D69C5-0BA4-4476-ADB4-C54FA55E076D}" srcId="{0488D1FB-4C8D-44A2-BFDF-3DE96CC3897F}" destId="{0BE00328-149D-44F2-AF3E-2D206A77FBF9}" srcOrd="1" destOrd="0" parTransId="{9A51B1E2-5E68-45E0-8A52-DC2595D6376C}" sibTransId="{53AEEB29-69BD-4482-965D-F4A14A42675C}"/>
    <dgm:cxn modelId="{A6E49DCC-B0FF-40F1-968C-EAC4C4657A35}" type="presOf" srcId="{76D49151-69C2-4253-8494-DE1E7EF625FB}" destId="{2F3D12E3-5D69-4848-A1C2-CA6CCEB0977D}" srcOrd="1" destOrd="0" presId="urn:microsoft.com/office/officeart/2005/8/layout/process1"/>
    <dgm:cxn modelId="{F97974CF-E476-4089-A4A7-06A5633D73CB}" srcId="{0488D1FB-4C8D-44A2-BFDF-3DE96CC3897F}" destId="{33808A98-8A65-4B9B-8A68-A2BCFDA443C1}" srcOrd="2" destOrd="0" parTransId="{4FAE2FF5-B325-4ED2-9A3A-5C72A3E80674}" sibTransId="{8C77C194-16BE-44D5-AF51-1A5589F0AE18}"/>
    <dgm:cxn modelId="{CC45A2E5-FAFB-4BDA-8C13-FD18783E84E7}" srcId="{0488D1FB-4C8D-44A2-BFDF-3DE96CC3897F}" destId="{DD90207C-8B70-4321-BFFA-4A6E76FA4553}" srcOrd="5" destOrd="0" parTransId="{A08A5BAB-7986-400D-AFCA-2F963C7B86FB}" sibTransId="{FAE17756-8CCC-41A0-9C20-FCED72C187EA}"/>
    <dgm:cxn modelId="{656929E6-11D7-4458-BBD9-AF9E95801B3B}" type="presOf" srcId="{DD90207C-8B70-4321-BFFA-4A6E76FA4553}" destId="{4062AF81-232B-41F1-A7A7-8E7D19CBB2D1}" srcOrd="0" destOrd="0" presId="urn:microsoft.com/office/officeart/2005/8/layout/process1"/>
    <dgm:cxn modelId="{7EE72DF7-9204-4E06-95FA-EFBC6B500198}" type="presOf" srcId="{0ACE2823-D3A7-46A9-B835-4E5307366DA6}" destId="{8866F7DC-0B89-4BDE-8AC5-8681E84F538E}" srcOrd="0" destOrd="0" presId="urn:microsoft.com/office/officeart/2005/8/layout/process1"/>
    <dgm:cxn modelId="{8A21318A-E235-4B54-9300-9405C379CD1D}" type="presParOf" srcId="{3E52C5B8-BAFE-4E79-9A57-F75F072B5884}" destId="{374FA763-7ECD-4FAA-A800-70B3EB362CAD}" srcOrd="0" destOrd="0" presId="urn:microsoft.com/office/officeart/2005/8/layout/process1"/>
    <dgm:cxn modelId="{CBCDA411-CA80-4572-A603-BE3BE0B3CC08}" type="presParOf" srcId="{3E52C5B8-BAFE-4E79-9A57-F75F072B5884}" destId="{22BEA73F-7B67-4D7A-A87A-894A62EF485D}" srcOrd="1" destOrd="0" presId="urn:microsoft.com/office/officeart/2005/8/layout/process1"/>
    <dgm:cxn modelId="{5C4E73F6-AE61-40FD-8DCB-8046338AD0C6}" type="presParOf" srcId="{22BEA73F-7B67-4D7A-A87A-894A62EF485D}" destId="{2F3D12E3-5D69-4848-A1C2-CA6CCEB0977D}" srcOrd="0" destOrd="0" presId="urn:microsoft.com/office/officeart/2005/8/layout/process1"/>
    <dgm:cxn modelId="{02F55BEA-651B-4410-B5E9-ED8A102F682F}" type="presParOf" srcId="{3E52C5B8-BAFE-4E79-9A57-F75F072B5884}" destId="{5970AAC9-3921-4383-810A-75E0C55BC9B5}" srcOrd="2" destOrd="0" presId="urn:microsoft.com/office/officeart/2005/8/layout/process1"/>
    <dgm:cxn modelId="{ABE5B652-3118-48E6-B8D1-CBC61941F17B}" type="presParOf" srcId="{3E52C5B8-BAFE-4E79-9A57-F75F072B5884}" destId="{66D506B2-76BC-4A8A-8782-A5FF504AA659}" srcOrd="3" destOrd="0" presId="urn:microsoft.com/office/officeart/2005/8/layout/process1"/>
    <dgm:cxn modelId="{480E83E7-6D6D-45C2-A76C-8B964B09A60B}" type="presParOf" srcId="{66D506B2-76BC-4A8A-8782-A5FF504AA659}" destId="{59ECAF8B-3933-49C3-A947-D1F61AFB126A}" srcOrd="0" destOrd="0" presId="urn:microsoft.com/office/officeart/2005/8/layout/process1"/>
    <dgm:cxn modelId="{EEE3AB74-857E-4DC8-9192-7411B030A452}" type="presParOf" srcId="{3E52C5B8-BAFE-4E79-9A57-F75F072B5884}" destId="{8FB76142-1211-482C-8F08-99122C4D65EF}" srcOrd="4" destOrd="0" presId="urn:microsoft.com/office/officeart/2005/8/layout/process1"/>
    <dgm:cxn modelId="{C68A29D8-953B-4E2E-8FEF-CB3999B47298}" type="presParOf" srcId="{3E52C5B8-BAFE-4E79-9A57-F75F072B5884}" destId="{ACCEE3A9-059C-49E3-9F06-574715A63EB0}" srcOrd="5" destOrd="0" presId="urn:microsoft.com/office/officeart/2005/8/layout/process1"/>
    <dgm:cxn modelId="{0A3F18A3-BC90-4FC3-91FA-4A883B75DE62}" type="presParOf" srcId="{ACCEE3A9-059C-49E3-9F06-574715A63EB0}" destId="{DDEC564D-C654-48FB-B94E-46B641247161}" srcOrd="0" destOrd="0" presId="urn:microsoft.com/office/officeart/2005/8/layout/process1"/>
    <dgm:cxn modelId="{44C26B07-7F6F-4420-B45F-6D17CDF3A5A5}" type="presParOf" srcId="{3E52C5B8-BAFE-4E79-9A57-F75F072B5884}" destId="{8866F7DC-0B89-4BDE-8AC5-8681E84F538E}" srcOrd="6" destOrd="0" presId="urn:microsoft.com/office/officeart/2005/8/layout/process1"/>
    <dgm:cxn modelId="{D8C814C2-A71F-49EA-839E-22DADEBE064C}" type="presParOf" srcId="{3E52C5B8-BAFE-4E79-9A57-F75F072B5884}" destId="{58B8FD0A-4F59-4B0F-A1AC-4DFBA3C1372D}" srcOrd="7" destOrd="0" presId="urn:microsoft.com/office/officeart/2005/8/layout/process1"/>
    <dgm:cxn modelId="{661CDF58-833D-4338-8992-ADF7FCC4C6A9}" type="presParOf" srcId="{58B8FD0A-4F59-4B0F-A1AC-4DFBA3C1372D}" destId="{8F48E00D-1EA6-483F-A3C1-6686EDAE0416}" srcOrd="0" destOrd="0" presId="urn:microsoft.com/office/officeart/2005/8/layout/process1"/>
    <dgm:cxn modelId="{4F3DAE19-AF23-43D6-8BF8-B7FCBB2AD5D1}" type="presParOf" srcId="{3E52C5B8-BAFE-4E79-9A57-F75F072B5884}" destId="{35932EFB-7DA8-4B45-BEA8-12DE9EAD797B}" srcOrd="8" destOrd="0" presId="urn:microsoft.com/office/officeart/2005/8/layout/process1"/>
    <dgm:cxn modelId="{706C1CFB-2151-4623-ADD4-8930475E7265}" type="presParOf" srcId="{3E52C5B8-BAFE-4E79-9A57-F75F072B5884}" destId="{7DDF81E6-D780-44E1-B09C-06E19A0AE8AE}" srcOrd="9" destOrd="0" presId="urn:microsoft.com/office/officeart/2005/8/layout/process1"/>
    <dgm:cxn modelId="{AC1BD87B-7F8D-4934-96E1-5CB760A269E1}" type="presParOf" srcId="{7DDF81E6-D780-44E1-B09C-06E19A0AE8AE}" destId="{7478CBB6-CF55-4C45-B41B-10DDF9728BEF}" srcOrd="0" destOrd="0" presId="urn:microsoft.com/office/officeart/2005/8/layout/process1"/>
    <dgm:cxn modelId="{D1EA0CA4-E6D3-4CC6-8A08-CF401C61F9B0}" type="presParOf" srcId="{3E52C5B8-BAFE-4E79-9A57-F75F072B5884}" destId="{4062AF81-232B-41F1-A7A7-8E7D19CBB2D1}" srcOrd="10" destOrd="0" presId="urn:microsoft.com/office/officeart/2005/8/layout/process1"/>
  </dgm:cxnLst>
  <dgm:bg/>
  <dgm:whole/>
  <dgm:extLst>
    <a:ext uri="http://schemas.microsoft.com/office/drawing/2008/diagram">
      <dsp:dataModelExt xmlns:dsp="http://schemas.microsoft.com/office/drawing/2008/diagram" relId="rId20" minVer="http://schemas.openxmlformats.org/drawingml/2006/diagram"/>
    </a:ext>
  </dgm:extLst>
</dgm:dataModel>
</file>

<file path=xl/diagrams/data5.xml><?xml version="1.0" encoding="utf-8"?>
<dgm:dataModel xmlns:dgm="http://schemas.openxmlformats.org/drawingml/2006/diagram" xmlns:a="http://schemas.openxmlformats.org/drawingml/2006/main">
  <dgm:ptLst>
    <dgm:pt modelId="{0488D1FB-4C8D-44A2-BFDF-3DE96CC3897F}" type="doc">
      <dgm:prSet loTypeId="urn:microsoft.com/office/officeart/2005/8/layout/process1" loCatId="process" qsTypeId="urn:microsoft.com/office/officeart/2005/8/quickstyle/simple3" qsCatId="simple" csTypeId="urn:microsoft.com/office/officeart/2005/8/colors/accent5_5" csCatId="accent5" phldr="1"/>
      <dgm:spPr/>
      <dgm:t>
        <a:bodyPr/>
        <a:lstStyle/>
        <a:p>
          <a:endParaRPr kumimoji="1" lang="ja-JP" altLang="en-US"/>
        </a:p>
      </dgm:t>
    </dgm:pt>
    <dgm:pt modelId="{F7C83A59-52A6-48A5-96A6-26F65368FFF4}">
      <dgm:prSet custT="1"/>
      <dgm:spPr/>
      <dgm:t>
        <a:bodyPr/>
        <a:lstStyle/>
        <a:p>
          <a:r>
            <a:rPr lang="ja-JP" altLang="en-US" sz="1400" b="0" dirty="0">
              <a:latin typeface="HG創英角ｺﾞｼｯｸUB" panose="020B0909000000000000" pitchFamily="49" charset="-128"/>
              <a:ea typeface="HG創英角ｺﾞｼｯｸUB" panose="020B0909000000000000" pitchFamily="49" charset="-128"/>
            </a:rPr>
            <a:t>対象ソフトウェアの把握</a:t>
          </a:r>
        </a:p>
      </dgm:t>
    </dgm:pt>
    <dgm:pt modelId="{8A1B6AF2-2BF1-4529-B73F-520B7274E728}" type="parTrans" cxnId="{2912DAF5-C249-426D-952A-55AC6237AD49}">
      <dgm:prSet/>
      <dgm:spPr/>
      <dgm:t>
        <a:bodyPr/>
        <a:lstStyle/>
        <a:p>
          <a:endParaRPr lang="ja-JP" altLang="en-US" sz="1400" b="0">
            <a:solidFill>
              <a:sysClr val="windowText" lastClr="000000"/>
            </a:solidFill>
            <a:latin typeface="HG創英角ｺﾞｼｯｸUB" panose="020B0909000000000000" pitchFamily="49" charset="-128"/>
            <a:ea typeface="HG創英角ｺﾞｼｯｸUB" panose="020B0909000000000000" pitchFamily="49" charset="-128"/>
          </a:endParaRPr>
        </a:p>
      </dgm:t>
    </dgm:pt>
    <dgm:pt modelId="{8E474AD3-1DF0-4140-AD00-763D8FDED430}" type="sibTrans" cxnId="{2912DAF5-C249-426D-952A-55AC6237AD49}">
      <dgm:prSet custT="1"/>
      <dgm:spPr/>
      <dgm:t>
        <a:bodyPr/>
        <a:lstStyle/>
        <a:p>
          <a:endParaRPr lang="ja-JP" altLang="en-US" sz="1400" b="0">
            <a:solidFill>
              <a:sysClr val="windowText" lastClr="000000"/>
            </a:solidFill>
            <a:latin typeface="HG創英角ｺﾞｼｯｸUB" panose="020B0909000000000000" pitchFamily="49" charset="-128"/>
            <a:ea typeface="HG創英角ｺﾞｼｯｸUB" panose="020B0909000000000000" pitchFamily="49" charset="-128"/>
          </a:endParaRPr>
        </a:p>
      </dgm:t>
    </dgm:pt>
    <dgm:pt modelId="{17E2E63C-542D-4AD6-A17A-91B31F8FDFD2}">
      <dgm:prSet custT="1"/>
      <dgm:spPr/>
      <dgm:t>
        <a:bodyPr/>
        <a:lstStyle/>
        <a:p>
          <a:r>
            <a:rPr lang="ja-JP" altLang="en-US" sz="1400" b="0" dirty="0">
              <a:latin typeface="HG創英角ｺﾞｼｯｸUB" panose="020B0909000000000000" pitchFamily="49" charset="-128"/>
              <a:ea typeface="HG創英角ｺﾞｼｯｸUB" panose="020B0909000000000000" pitchFamily="49" charset="-128"/>
            </a:rPr>
            <a:t>バージョン情報の調査</a:t>
          </a:r>
        </a:p>
      </dgm:t>
    </dgm:pt>
    <dgm:pt modelId="{8F26C88B-4EE4-4C77-9B27-5D9CB9B7C8C1}" type="parTrans" cxnId="{E220CCE6-3E9D-42E1-8073-7201D6473B46}">
      <dgm:prSet/>
      <dgm:spPr/>
      <dgm:t>
        <a:bodyPr/>
        <a:lstStyle/>
        <a:p>
          <a:endParaRPr lang="ja-JP" altLang="en-US" sz="1400" b="0">
            <a:solidFill>
              <a:sysClr val="windowText" lastClr="000000"/>
            </a:solidFill>
            <a:latin typeface="HG創英角ｺﾞｼｯｸUB" panose="020B0909000000000000" pitchFamily="49" charset="-128"/>
            <a:ea typeface="HG創英角ｺﾞｼｯｸUB" panose="020B0909000000000000" pitchFamily="49" charset="-128"/>
          </a:endParaRPr>
        </a:p>
      </dgm:t>
    </dgm:pt>
    <dgm:pt modelId="{05A937B4-B313-4278-AD05-BB66B0FA30E7}" type="sibTrans" cxnId="{E220CCE6-3E9D-42E1-8073-7201D6473B46}">
      <dgm:prSet custT="1"/>
      <dgm:spPr/>
      <dgm:t>
        <a:bodyPr/>
        <a:lstStyle/>
        <a:p>
          <a:endParaRPr lang="ja-JP" altLang="en-US" sz="1400" b="0">
            <a:solidFill>
              <a:sysClr val="windowText" lastClr="000000"/>
            </a:solidFill>
            <a:latin typeface="HG創英角ｺﾞｼｯｸUB" panose="020B0909000000000000" pitchFamily="49" charset="-128"/>
            <a:ea typeface="HG創英角ｺﾞｼｯｸUB" panose="020B0909000000000000" pitchFamily="49" charset="-128"/>
          </a:endParaRPr>
        </a:p>
      </dgm:t>
    </dgm:pt>
    <dgm:pt modelId="{8D41213A-510D-4964-A134-6DCA883FBACD}">
      <dgm:prSet custT="1"/>
      <dgm:spPr/>
      <dgm:t>
        <a:bodyPr/>
        <a:lstStyle/>
        <a:p>
          <a:r>
            <a:rPr lang="ja-JP" altLang="en-US" sz="1400" b="0" dirty="0">
              <a:latin typeface="HG創英角ｺﾞｼｯｸUB" panose="020B0909000000000000" pitchFamily="49" charset="-128"/>
              <a:ea typeface="HG創英角ｺﾞｼｯｸUB" panose="020B0909000000000000" pitchFamily="49" charset="-128"/>
            </a:rPr>
            <a:t>製品ベンダサイト等の調査</a:t>
          </a:r>
          <a:endParaRPr lang="en-US" altLang="ja-JP" sz="1400" b="0" dirty="0">
            <a:latin typeface="HG創英角ｺﾞｼｯｸUB" panose="020B0909000000000000" pitchFamily="49" charset="-128"/>
            <a:ea typeface="HG創英角ｺﾞｼｯｸUB" panose="020B0909000000000000" pitchFamily="49" charset="-128"/>
          </a:endParaRPr>
        </a:p>
      </dgm:t>
    </dgm:pt>
    <dgm:pt modelId="{0AD5FC09-7D8C-4EA7-B92E-F05E3A4E5DCC}" type="parTrans" cxnId="{73D8FCD0-83EF-4AA1-80AC-0AB71DFF41E8}">
      <dgm:prSet/>
      <dgm:spPr/>
      <dgm:t>
        <a:bodyPr/>
        <a:lstStyle/>
        <a:p>
          <a:endParaRPr lang="ja-JP" altLang="en-US" sz="1400" b="0">
            <a:solidFill>
              <a:sysClr val="windowText" lastClr="000000"/>
            </a:solidFill>
            <a:latin typeface="HG創英角ｺﾞｼｯｸUB" panose="020B0909000000000000" pitchFamily="49" charset="-128"/>
            <a:ea typeface="HG創英角ｺﾞｼｯｸUB" panose="020B0909000000000000" pitchFamily="49" charset="-128"/>
          </a:endParaRPr>
        </a:p>
      </dgm:t>
    </dgm:pt>
    <dgm:pt modelId="{5A56B3F3-383F-4D59-8322-4A15BD4293E3}" type="sibTrans" cxnId="{73D8FCD0-83EF-4AA1-80AC-0AB71DFF41E8}">
      <dgm:prSet custT="1"/>
      <dgm:spPr/>
      <dgm:t>
        <a:bodyPr/>
        <a:lstStyle/>
        <a:p>
          <a:endParaRPr lang="ja-JP" altLang="en-US" sz="1400" b="0">
            <a:solidFill>
              <a:sysClr val="windowText" lastClr="000000"/>
            </a:solidFill>
            <a:latin typeface="HG創英角ｺﾞｼｯｸUB" panose="020B0909000000000000" pitchFamily="49" charset="-128"/>
            <a:ea typeface="HG創英角ｺﾞｼｯｸUB" panose="020B0909000000000000" pitchFamily="49" charset="-128"/>
          </a:endParaRPr>
        </a:p>
      </dgm:t>
    </dgm:pt>
    <dgm:pt modelId="{74789E5A-C7E7-477E-84B2-017DB748EB43}">
      <dgm:prSet custT="1"/>
      <dgm:spPr/>
      <dgm:t>
        <a:bodyPr/>
        <a:lstStyle/>
        <a:p>
          <a:r>
            <a:rPr lang="ja-JP" altLang="en-US" sz="1400" b="0" dirty="0">
              <a:latin typeface="HG創英角ｺﾞｼｯｸUB" panose="020B0909000000000000" pitchFamily="49" charset="-128"/>
              <a:ea typeface="HG創英角ｺﾞｼｯｸUB" panose="020B0909000000000000" pitchFamily="49" charset="-128"/>
            </a:rPr>
            <a:t>情報収集先の選定</a:t>
          </a:r>
        </a:p>
      </dgm:t>
    </dgm:pt>
    <dgm:pt modelId="{D4A4A4C8-2899-4A1E-AEC2-657977D93529}" type="parTrans" cxnId="{07C3370B-B27B-4780-B373-46CE215F5CD7}">
      <dgm:prSet/>
      <dgm:spPr/>
      <dgm:t>
        <a:bodyPr/>
        <a:lstStyle/>
        <a:p>
          <a:endParaRPr lang="ja-JP" altLang="en-US" sz="1400" b="0">
            <a:solidFill>
              <a:sysClr val="windowText" lastClr="000000"/>
            </a:solidFill>
            <a:latin typeface="HG創英角ｺﾞｼｯｸUB" panose="020B0909000000000000" pitchFamily="49" charset="-128"/>
            <a:ea typeface="HG創英角ｺﾞｼｯｸUB" panose="020B0909000000000000" pitchFamily="49" charset="-128"/>
          </a:endParaRPr>
        </a:p>
      </dgm:t>
    </dgm:pt>
    <dgm:pt modelId="{34278B4E-3AFD-44F2-BFC2-88B7377CC0C1}" type="sibTrans" cxnId="{07C3370B-B27B-4780-B373-46CE215F5CD7}">
      <dgm:prSet custT="1"/>
      <dgm:spPr/>
      <dgm:t>
        <a:bodyPr/>
        <a:lstStyle/>
        <a:p>
          <a:endParaRPr lang="ja-JP" altLang="en-US" sz="1400" b="0">
            <a:solidFill>
              <a:sysClr val="windowText" lastClr="000000"/>
            </a:solidFill>
            <a:latin typeface="HG創英角ｺﾞｼｯｸUB" panose="020B0909000000000000" pitchFamily="49" charset="-128"/>
            <a:ea typeface="HG創英角ｺﾞｼｯｸUB" panose="020B0909000000000000" pitchFamily="49" charset="-128"/>
          </a:endParaRPr>
        </a:p>
      </dgm:t>
    </dgm:pt>
    <dgm:pt modelId="{11241A9E-A0EC-4628-B826-4492F72226DF}">
      <dgm:prSet custT="1"/>
      <dgm:spPr/>
      <dgm:t>
        <a:bodyPr/>
        <a:lstStyle/>
        <a:p>
          <a:r>
            <a:rPr lang="ja-JP" altLang="en-US" sz="1400" b="0" dirty="0">
              <a:latin typeface="HG創英角ｺﾞｼｯｸUB" panose="020B0909000000000000" pitchFamily="49" charset="-128"/>
              <a:ea typeface="HG創英角ｺﾞｼｯｸUB" panose="020B0909000000000000" pitchFamily="49" charset="-128"/>
            </a:rPr>
            <a:t>対応方針の設定</a:t>
          </a:r>
        </a:p>
      </dgm:t>
    </dgm:pt>
    <dgm:pt modelId="{066DC3C9-FEE2-4F75-8E41-6CF655F8D80C}" type="parTrans" cxnId="{6E85EAB5-8F25-4B2F-BC2D-1F20A5297E14}">
      <dgm:prSet/>
      <dgm:spPr/>
      <dgm:t>
        <a:bodyPr/>
        <a:lstStyle/>
        <a:p>
          <a:endParaRPr lang="ja-JP" altLang="en-US" sz="1400" b="0">
            <a:solidFill>
              <a:sysClr val="windowText" lastClr="000000"/>
            </a:solidFill>
            <a:latin typeface="HG創英角ｺﾞｼｯｸUB" panose="020B0909000000000000" pitchFamily="49" charset="-128"/>
            <a:ea typeface="HG創英角ｺﾞｼｯｸUB" panose="020B0909000000000000" pitchFamily="49" charset="-128"/>
          </a:endParaRPr>
        </a:p>
      </dgm:t>
    </dgm:pt>
    <dgm:pt modelId="{215F7E4B-20FF-4614-AB76-EAC22F409667}" type="sibTrans" cxnId="{6E85EAB5-8F25-4B2F-BC2D-1F20A5297E14}">
      <dgm:prSet/>
      <dgm:spPr/>
      <dgm:t>
        <a:bodyPr/>
        <a:lstStyle/>
        <a:p>
          <a:endParaRPr lang="ja-JP" altLang="en-US" sz="1400" b="0">
            <a:solidFill>
              <a:sysClr val="windowText" lastClr="000000"/>
            </a:solidFill>
            <a:latin typeface="HG創英角ｺﾞｼｯｸUB" panose="020B0909000000000000" pitchFamily="49" charset="-128"/>
            <a:ea typeface="HG創英角ｺﾞｼｯｸUB" panose="020B0909000000000000" pitchFamily="49" charset="-128"/>
          </a:endParaRPr>
        </a:p>
      </dgm:t>
    </dgm:pt>
    <dgm:pt modelId="{3E52C5B8-BAFE-4E79-9A57-F75F072B5884}" type="pres">
      <dgm:prSet presAssocID="{0488D1FB-4C8D-44A2-BFDF-3DE96CC3897F}" presName="Name0" presStyleCnt="0">
        <dgm:presLayoutVars>
          <dgm:dir/>
          <dgm:resizeHandles val="exact"/>
        </dgm:presLayoutVars>
      </dgm:prSet>
      <dgm:spPr/>
    </dgm:pt>
    <dgm:pt modelId="{FFE56A2C-1CFB-44DE-AFD6-7F5E46F955E9}" type="pres">
      <dgm:prSet presAssocID="{F7C83A59-52A6-48A5-96A6-26F65368FFF4}" presName="node" presStyleLbl="node1" presStyleIdx="0" presStyleCnt="5" custScaleX="247098" custScaleY="135791">
        <dgm:presLayoutVars>
          <dgm:bulletEnabled val="1"/>
        </dgm:presLayoutVars>
      </dgm:prSet>
      <dgm:spPr/>
    </dgm:pt>
    <dgm:pt modelId="{1F5010DA-2883-4CF4-BE0B-CA3FAB5F1ED9}" type="pres">
      <dgm:prSet presAssocID="{8E474AD3-1DF0-4140-AD00-763D8FDED430}" presName="sibTrans" presStyleLbl="sibTrans2D1" presStyleIdx="0" presStyleCnt="4" custScaleX="118694"/>
      <dgm:spPr/>
    </dgm:pt>
    <dgm:pt modelId="{CCC29F3C-C21E-446A-9DDD-9DD7C82E2331}" type="pres">
      <dgm:prSet presAssocID="{8E474AD3-1DF0-4140-AD00-763D8FDED430}" presName="connectorText" presStyleLbl="sibTrans2D1" presStyleIdx="0" presStyleCnt="4"/>
      <dgm:spPr/>
    </dgm:pt>
    <dgm:pt modelId="{D60BB7DE-D7A3-497B-A448-86D0FB31F613}" type="pres">
      <dgm:prSet presAssocID="{17E2E63C-542D-4AD6-A17A-91B31F8FDFD2}" presName="node" presStyleLbl="node1" presStyleIdx="1" presStyleCnt="5" custScaleX="247098" custScaleY="135791">
        <dgm:presLayoutVars>
          <dgm:bulletEnabled val="1"/>
        </dgm:presLayoutVars>
      </dgm:prSet>
      <dgm:spPr/>
    </dgm:pt>
    <dgm:pt modelId="{1DF7FD5E-885D-4264-A113-16A13D9C1F69}" type="pres">
      <dgm:prSet presAssocID="{05A937B4-B313-4278-AD05-BB66B0FA30E7}" presName="sibTrans" presStyleLbl="sibTrans2D1" presStyleIdx="1" presStyleCnt="4" custScaleX="118694"/>
      <dgm:spPr/>
    </dgm:pt>
    <dgm:pt modelId="{3D8C1D17-7260-4E92-AF4A-19FF5EA12035}" type="pres">
      <dgm:prSet presAssocID="{05A937B4-B313-4278-AD05-BB66B0FA30E7}" presName="connectorText" presStyleLbl="sibTrans2D1" presStyleIdx="1" presStyleCnt="4"/>
      <dgm:spPr/>
    </dgm:pt>
    <dgm:pt modelId="{B1DB730F-C2EF-4E1D-A8C9-481847451E04}" type="pres">
      <dgm:prSet presAssocID="{8D41213A-510D-4964-A134-6DCA883FBACD}" presName="node" presStyleLbl="node1" presStyleIdx="2" presStyleCnt="5" custScaleX="247098" custScaleY="135791">
        <dgm:presLayoutVars>
          <dgm:bulletEnabled val="1"/>
        </dgm:presLayoutVars>
      </dgm:prSet>
      <dgm:spPr/>
    </dgm:pt>
    <dgm:pt modelId="{1D841FB9-5B53-4BA4-8262-68F853D920CD}" type="pres">
      <dgm:prSet presAssocID="{5A56B3F3-383F-4D59-8322-4A15BD4293E3}" presName="sibTrans" presStyleLbl="sibTrans2D1" presStyleIdx="2" presStyleCnt="4" custScaleX="118694"/>
      <dgm:spPr/>
    </dgm:pt>
    <dgm:pt modelId="{66C29614-1880-4023-93E2-13FDE2D36BC0}" type="pres">
      <dgm:prSet presAssocID="{5A56B3F3-383F-4D59-8322-4A15BD4293E3}" presName="connectorText" presStyleLbl="sibTrans2D1" presStyleIdx="2" presStyleCnt="4"/>
      <dgm:spPr/>
    </dgm:pt>
    <dgm:pt modelId="{7814E94C-C458-45E3-B427-E1AC3370AB03}" type="pres">
      <dgm:prSet presAssocID="{74789E5A-C7E7-477E-84B2-017DB748EB43}" presName="node" presStyleLbl="node1" presStyleIdx="3" presStyleCnt="5" custScaleX="247098" custScaleY="135791">
        <dgm:presLayoutVars>
          <dgm:bulletEnabled val="1"/>
        </dgm:presLayoutVars>
      </dgm:prSet>
      <dgm:spPr/>
    </dgm:pt>
    <dgm:pt modelId="{357ECF90-5AF5-4D3E-A316-EB0EF00F8B92}" type="pres">
      <dgm:prSet presAssocID="{34278B4E-3AFD-44F2-BFC2-88B7377CC0C1}" presName="sibTrans" presStyleLbl="sibTrans2D1" presStyleIdx="3" presStyleCnt="4" custScaleX="118694"/>
      <dgm:spPr/>
    </dgm:pt>
    <dgm:pt modelId="{1CA978F3-31FF-4C4D-BCF6-0E2232C1D17B}" type="pres">
      <dgm:prSet presAssocID="{34278B4E-3AFD-44F2-BFC2-88B7377CC0C1}" presName="connectorText" presStyleLbl="sibTrans2D1" presStyleIdx="3" presStyleCnt="4"/>
      <dgm:spPr/>
    </dgm:pt>
    <dgm:pt modelId="{208AC97D-4FDC-474E-9847-CAFE35F4B79E}" type="pres">
      <dgm:prSet presAssocID="{11241A9E-A0EC-4628-B826-4492F72226DF}" presName="node" presStyleLbl="node1" presStyleIdx="4" presStyleCnt="5" custScaleX="247098" custScaleY="135791">
        <dgm:presLayoutVars>
          <dgm:bulletEnabled val="1"/>
        </dgm:presLayoutVars>
      </dgm:prSet>
      <dgm:spPr/>
    </dgm:pt>
  </dgm:ptLst>
  <dgm:cxnLst>
    <dgm:cxn modelId="{012E4905-6F47-4DD6-A63B-A444540FAAC3}" type="presOf" srcId="{8E474AD3-1DF0-4140-AD00-763D8FDED430}" destId="{1F5010DA-2883-4CF4-BE0B-CA3FAB5F1ED9}" srcOrd="0" destOrd="0" presId="urn:microsoft.com/office/officeart/2005/8/layout/process1"/>
    <dgm:cxn modelId="{07C3370B-B27B-4780-B373-46CE215F5CD7}" srcId="{0488D1FB-4C8D-44A2-BFDF-3DE96CC3897F}" destId="{74789E5A-C7E7-477E-84B2-017DB748EB43}" srcOrd="3" destOrd="0" parTransId="{D4A4A4C8-2899-4A1E-AEC2-657977D93529}" sibTransId="{34278B4E-3AFD-44F2-BFC2-88B7377CC0C1}"/>
    <dgm:cxn modelId="{4B04430E-3CCB-4822-BB24-53F9839E087F}" type="presOf" srcId="{5A56B3F3-383F-4D59-8322-4A15BD4293E3}" destId="{66C29614-1880-4023-93E2-13FDE2D36BC0}" srcOrd="1" destOrd="0" presId="urn:microsoft.com/office/officeart/2005/8/layout/process1"/>
    <dgm:cxn modelId="{2AF5961C-0BC7-45CD-B159-77ADDD6E48FB}" type="presOf" srcId="{05A937B4-B313-4278-AD05-BB66B0FA30E7}" destId="{3D8C1D17-7260-4E92-AF4A-19FF5EA12035}" srcOrd="1" destOrd="0" presId="urn:microsoft.com/office/officeart/2005/8/layout/process1"/>
    <dgm:cxn modelId="{74021A22-41FB-44B1-A6B7-A4A3CAF4450F}" type="presOf" srcId="{0488D1FB-4C8D-44A2-BFDF-3DE96CC3897F}" destId="{3E52C5B8-BAFE-4E79-9A57-F75F072B5884}" srcOrd="0" destOrd="0" presId="urn:microsoft.com/office/officeart/2005/8/layout/process1"/>
    <dgm:cxn modelId="{DC4FE640-D239-42F5-9B61-DE487C834A08}" type="presOf" srcId="{34278B4E-3AFD-44F2-BFC2-88B7377CC0C1}" destId="{1CA978F3-31FF-4C4D-BCF6-0E2232C1D17B}" srcOrd="1" destOrd="0" presId="urn:microsoft.com/office/officeart/2005/8/layout/process1"/>
    <dgm:cxn modelId="{0B56DD5E-5C67-4EB8-BD8E-0536324B4833}" type="presOf" srcId="{05A937B4-B313-4278-AD05-BB66B0FA30E7}" destId="{1DF7FD5E-885D-4264-A113-16A13D9C1F69}" srcOrd="0" destOrd="0" presId="urn:microsoft.com/office/officeart/2005/8/layout/process1"/>
    <dgm:cxn modelId="{CE594F61-58BC-4BD8-B139-F666910D3293}" type="presOf" srcId="{11241A9E-A0EC-4628-B826-4492F72226DF}" destId="{208AC97D-4FDC-474E-9847-CAFE35F4B79E}" srcOrd="0" destOrd="0" presId="urn:microsoft.com/office/officeart/2005/8/layout/process1"/>
    <dgm:cxn modelId="{7ED4FC43-7A48-4DCF-A9C2-8C215680CDFD}" type="presOf" srcId="{8D41213A-510D-4964-A134-6DCA883FBACD}" destId="{B1DB730F-C2EF-4E1D-A8C9-481847451E04}" srcOrd="0" destOrd="0" presId="urn:microsoft.com/office/officeart/2005/8/layout/process1"/>
    <dgm:cxn modelId="{9379A64A-CC6D-4B9F-8813-9B2081181B76}" type="presOf" srcId="{5A56B3F3-383F-4D59-8322-4A15BD4293E3}" destId="{1D841FB9-5B53-4BA4-8262-68F853D920CD}" srcOrd="0" destOrd="0" presId="urn:microsoft.com/office/officeart/2005/8/layout/process1"/>
    <dgm:cxn modelId="{67DC2486-B2F1-4EB1-AFA2-83069CB6DE1D}" type="presOf" srcId="{17E2E63C-542D-4AD6-A17A-91B31F8FDFD2}" destId="{D60BB7DE-D7A3-497B-A448-86D0FB31F613}" srcOrd="0" destOrd="0" presId="urn:microsoft.com/office/officeart/2005/8/layout/process1"/>
    <dgm:cxn modelId="{F7E5A8A8-9175-4240-A7F9-04B0E6648C3D}" type="presOf" srcId="{34278B4E-3AFD-44F2-BFC2-88B7377CC0C1}" destId="{357ECF90-5AF5-4D3E-A316-EB0EF00F8B92}" srcOrd="0" destOrd="0" presId="urn:microsoft.com/office/officeart/2005/8/layout/process1"/>
    <dgm:cxn modelId="{2D6EEEB0-05CC-4ED6-A1E9-8D56BF199A6E}" type="presOf" srcId="{F7C83A59-52A6-48A5-96A6-26F65368FFF4}" destId="{FFE56A2C-1CFB-44DE-AFD6-7F5E46F955E9}" srcOrd="0" destOrd="0" presId="urn:microsoft.com/office/officeart/2005/8/layout/process1"/>
    <dgm:cxn modelId="{D5BBE9B4-3DE9-4D4C-87C8-731C8A0981D0}" type="presOf" srcId="{8E474AD3-1DF0-4140-AD00-763D8FDED430}" destId="{CCC29F3C-C21E-446A-9DDD-9DD7C82E2331}" srcOrd="1" destOrd="0" presId="urn:microsoft.com/office/officeart/2005/8/layout/process1"/>
    <dgm:cxn modelId="{6E85EAB5-8F25-4B2F-BC2D-1F20A5297E14}" srcId="{0488D1FB-4C8D-44A2-BFDF-3DE96CC3897F}" destId="{11241A9E-A0EC-4628-B826-4492F72226DF}" srcOrd="4" destOrd="0" parTransId="{066DC3C9-FEE2-4F75-8E41-6CF655F8D80C}" sibTransId="{215F7E4B-20FF-4614-AB76-EAC22F409667}"/>
    <dgm:cxn modelId="{AE7C0AC0-EAD9-4AE0-9CD0-C8C48500CD84}" type="presOf" srcId="{74789E5A-C7E7-477E-84B2-017DB748EB43}" destId="{7814E94C-C458-45E3-B427-E1AC3370AB03}" srcOrd="0" destOrd="0" presId="urn:microsoft.com/office/officeart/2005/8/layout/process1"/>
    <dgm:cxn modelId="{73D8FCD0-83EF-4AA1-80AC-0AB71DFF41E8}" srcId="{0488D1FB-4C8D-44A2-BFDF-3DE96CC3897F}" destId="{8D41213A-510D-4964-A134-6DCA883FBACD}" srcOrd="2" destOrd="0" parTransId="{0AD5FC09-7D8C-4EA7-B92E-F05E3A4E5DCC}" sibTransId="{5A56B3F3-383F-4D59-8322-4A15BD4293E3}"/>
    <dgm:cxn modelId="{E220CCE6-3E9D-42E1-8073-7201D6473B46}" srcId="{0488D1FB-4C8D-44A2-BFDF-3DE96CC3897F}" destId="{17E2E63C-542D-4AD6-A17A-91B31F8FDFD2}" srcOrd="1" destOrd="0" parTransId="{8F26C88B-4EE4-4C77-9B27-5D9CB9B7C8C1}" sibTransId="{05A937B4-B313-4278-AD05-BB66B0FA30E7}"/>
    <dgm:cxn modelId="{2912DAF5-C249-426D-952A-55AC6237AD49}" srcId="{0488D1FB-4C8D-44A2-BFDF-3DE96CC3897F}" destId="{F7C83A59-52A6-48A5-96A6-26F65368FFF4}" srcOrd="0" destOrd="0" parTransId="{8A1B6AF2-2BF1-4529-B73F-520B7274E728}" sibTransId="{8E474AD3-1DF0-4140-AD00-763D8FDED430}"/>
    <dgm:cxn modelId="{8666EB53-E168-4657-A467-FE1D666A8F09}" type="presParOf" srcId="{3E52C5B8-BAFE-4E79-9A57-F75F072B5884}" destId="{FFE56A2C-1CFB-44DE-AFD6-7F5E46F955E9}" srcOrd="0" destOrd="0" presId="urn:microsoft.com/office/officeart/2005/8/layout/process1"/>
    <dgm:cxn modelId="{AAB5DA39-F8C1-417A-AC34-F5CE2FDE841A}" type="presParOf" srcId="{3E52C5B8-BAFE-4E79-9A57-F75F072B5884}" destId="{1F5010DA-2883-4CF4-BE0B-CA3FAB5F1ED9}" srcOrd="1" destOrd="0" presId="urn:microsoft.com/office/officeart/2005/8/layout/process1"/>
    <dgm:cxn modelId="{C14325C5-CF16-445B-9F7B-8B55E7E5264A}" type="presParOf" srcId="{1F5010DA-2883-4CF4-BE0B-CA3FAB5F1ED9}" destId="{CCC29F3C-C21E-446A-9DDD-9DD7C82E2331}" srcOrd="0" destOrd="0" presId="urn:microsoft.com/office/officeart/2005/8/layout/process1"/>
    <dgm:cxn modelId="{C7D07D3A-686A-4BB9-B94E-05B64904D7A9}" type="presParOf" srcId="{3E52C5B8-BAFE-4E79-9A57-F75F072B5884}" destId="{D60BB7DE-D7A3-497B-A448-86D0FB31F613}" srcOrd="2" destOrd="0" presId="urn:microsoft.com/office/officeart/2005/8/layout/process1"/>
    <dgm:cxn modelId="{620DCE8E-6C9C-4D66-8A71-2A5DACECA4DA}" type="presParOf" srcId="{3E52C5B8-BAFE-4E79-9A57-F75F072B5884}" destId="{1DF7FD5E-885D-4264-A113-16A13D9C1F69}" srcOrd="3" destOrd="0" presId="urn:microsoft.com/office/officeart/2005/8/layout/process1"/>
    <dgm:cxn modelId="{DD0EAB5D-AAFD-4630-9445-32F3D7C41460}" type="presParOf" srcId="{1DF7FD5E-885D-4264-A113-16A13D9C1F69}" destId="{3D8C1D17-7260-4E92-AF4A-19FF5EA12035}" srcOrd="0" destOrd="0" presId="urn:microsoft.com/office/officeart/2005/8/layout/process1"/>
    <dgm:cxn modelId="{906E201B-E06A-4F3A-90CC-B098CA8AC25A}" type="presParOf" srcId="{3E52C5B8-BAFE-4E79-9A57-F75F072B5884}" destId="{B1DB730F-C2EF-4E1D-A8C9-481847451E04}" srcOrd="4" destOrd="0" presId="urn:microsoft.com/office/officeart/2005/8/layout/process1"/>
    <dgm:cxn modelId="{FF4A2A26-70CD-4292-9854-3F22E1E4BD85}" type="presParOf" srcId="{3E52C5B8-BAFE-4E79-9A57-F75F072B5884}" destId="{1D841FB9-5B53-4BA4-8262-68F853D920CD}" srcOrd="5" destOrd="0" presId="urn:microsoft.com/office/officeart/2005/8/layout/process1"/>
    <dgm:cxn modelId="{408718E3-1ED7-4195-8F7A-18BBD4251CFC}" type="presParOf" srcId="{1D841FB9-5B53-4BA4-8262-68F853D920CD}" destId="{66C29614-1880-4023-93E2-13FDE2D36BC0}" srcOrd="0" destOrd="0" presId="urn:microsoft.com/office/officeart/2005/8/layout/process1"/>
    <dgm:cxn modelId="{CFAE5EA5-0072-40B5-A0EF-CA3E06B01D0D}" type="presParOf" srcId="{3E52C5B8-BAFE-4E79-9A57-F75F072B5884}" destId="{7814E94C-C458-45E3-B427-E1AC3370AB03}" srcOrd="6" destOrd="0" presId="urn:microsoft.com/office/officeart/2005/8/layout/process1"/>
    <dgm:cxn modelId="{0DB049E6-EC71-40F1-B958-B6054757A5F7}" type="presParOf" srcId="{3E52C5B8-BAFE-4E79-9A57-F75F072B5884}" destId="{357ECF90-5AF5-4D3E-A316-EB0EF00F8B92}" srcOrd="7" destOrd="0" presId="urn:microsoft.com/office/officeart/2005/8/layout/process1"/>
    <dgm:cxn modelId="{0A937524-4326-4325-ADC4-B079528755A6}" type="presParOf" srcId="{357ECF90-5AF5-4D3E-A316-EB0EF00F8B92}" destId="{1CA978F3-31FF-4C4D-BCF6-0E2232C1D17B}" srcOrd="0" destOrd="0" presId="urn:microsoft.com/office/officeart/2005/8/layout/process1"/>
    <dgm:cxn modelId="{9E1BDAA2-DDAB-434D-A321-413806A8F9A0}" type="presParOf" srcId="{3E52C5B8-BAFE-4E79-9A57-F75F072B5884}" destId="{208AC97D-4FDC-474E-9847-CAFE35F4B79E}" srcOrd="8" destOrd="0" presId="urn:microsoft.com/office/officeart/2005/8/layout/process1"/>
  </dgm:cxnLst>
  <dgm:bg/>
  <dgm:whole/>
  <dgm:extLst>
    <a:ext uri="http://schemas.microsoft.com/office/drawing/2008/diagram">
      <dsp:dataModelExt xmlns:dsp="http://schemas.microsoft.com/office/drawing/2008/diagram" relId="rId25" minVer="http://schemas.openxmlformats.org/drawingml/2006/diagram"/>
    </a:ext>
  </dgm:extLst>
</dgm:dataModel>
</file>

<file path=xl/diagrams/data6.xml><?xml version="1.0" encoding="utf-8"?>
<dgm:dataModel xmlns:dgm="http://schemas.openxmlformats.org/drawingml/2006/diagram" xmlns:a="http://schemas.openxmlformats.org/drawingml/2006/main">
  <dgm:ptLst>
    <dgm:pt modelId="{0488D1FB-4C8D-44A2-BFDF-3DE96CC3897F}" type="doc">
      <dgm:prSet loTypeId="urn:microsoft.com/office/officeart/2005/8/layout/process1" loCatId="process" qsTypeId="urn:microsoft.com/office/officeart/2005/8/quickstyle/simple3" qsCatId="simple" csTypeId="urn:microsoft.com/office/officeart/2005/8/colors/accent6_5" csCatId="accent6" phldr="1"/>
      <dgm:spPr/>
      <dgm:t>
        <a:bodyPr/>
        <a:lstStyle/>
        <a:p>
          <a:endParaRPr kumimoji="1" lang="ja-JP" altLang="en-US"/>
        </a:p>
      </dgm:t>
    </dgm:pt>
    <dgm:pt modelId="{F7C83A59-52A6-48A5-96A6-26F65368FFF4}">
      <dgm:prSet custT="1"/>
      <dgm:spPr/>
      <dgm:t>
        <a:bodyPr/>
        <a:lstStyle/>
        <a:p>
          <a:pPr algn="ctr"/>
          <a:r>
            <a:rPr lang="ja-JP" altLang="en-US" sz="1400" b="0" dirty="0">
              <a:latin typeface="HG創英角ｺﾞｼｯｸUB" panose="020B0909000000000000" pitchFamily="49" charset="-128"/>
              <a:ea typeface="HG創英角ｺﾞｼｯｸUB" panose="020B0909000000000000" pitchFamily="49" charset="-128"/>
            </a:rPr>
            <a:t>対象ソフトウェアの再確認</a:t>
          </a:r>
        </a:p>
      </dgm:t>
    </dgm:pt>
    <dgm:pt modelId="{8A1B6AF2-2BF1-4529-B73F-520B7274E728}" type="parTrans" cxnId="{2912DAF5-C249-426D-952A-55AC6237AD49}">
      <dgm:prSet/>
      <dgm:spPr/>
      <dgm:t>
        <a:bodyPr/>
        <a:lstStyle/>
        <a:p>
          <a:pPr algn="ctr"/>
          <a:endParaRPr lang="ja-JP" altLang="en-US" sz="1400" b="0">
            <a:solidFill>
              <a:sysClr val="windowText" lastClr="000000"/>
            </a:solidFill>
            <a:latin typeface="HG創英角ｺﾞｼｯｸUB" panose="020B0909000000000000" pitchFamily="49" charset="-128"/>
            <a:ea typeface="HG創英角ｺﾞｼｯｸUB" panose="020B0909000000000000" pitchFamily="49" charset="-128"/>
          </a:endParaRPr>
        </a:p>
      </dgm:t>
    </dgm:pt>
    <dgm:pt modelId="{8E474AD3-1DF0-4140-AD00-763D8FDED430}" type="sibTrans" cxnId="{2912DAF5-C249-426D-952A-55AC6237AD49}">
      <dgm:prSet custT="1"/>
      <dgm:spPr/>
      <dgm:t>
        <a:bodyPr/>
        <a:lstStyle/>
        <a:p>
          <a:pPr algn="ctr"/>
          <a:endParaRPr lang="ja-JP" altLang="en-US" sz="1400" b="0">
            <a:solidFill>
              <a:sysClr val="windowText" lastClr="000000"/>
            </a:solidFill>
            <a:latin typeface="HG創英角ｺﾞｼｯｸUB" panose="020B0909000000000000" pitchFamily="49" charset="-128"/>
            <a:ea typeface="HG創英角ｺﾞｼｯｸUB" panose="020B0909000000000000" pitchFamily="49" charset="-128"/>
          </a:endParaRPr>
        </a:p>
      </dgm:t>
    </dgm:pt>
    <dgm:pt modelId="{8D41213A-510D-4964-A134-6DCA883FBACD}">
      <dgm:prSet custT="1"/>
      <dgm:spPr/>
      <dgm:t>
        <a:bodyPr/>
        <a:lstStyle/>
        <a:p>
          <a:pPr algn="ctr"/>
          <a:r>
            <a:rPr lang="ja-JP" altLang="en-US" sz="1400" b="0" dirty="0">
              <a:latin typeface="HG創英角ｺﾞｼｯｸUB" panose="020B0909000000000000" pitchFamily="49" charset="-128"/>
              <a:ea typeface="HG創英角ｺﾞｼｯｸUB" panose="020B0909000000000000" pitchFamily="49" charset="-128"/>
            </a:rPr>
            <a:t>脆弱性関連情報の確認</a:t>
          </a:r>
          <a:endParaRPr lang="en-US" altLang="ja-JP" sz="1400" b="0" dirty="0">
            <a:latin typeface="HG創英角ｺﾞｼｯｸUB" panose="020B0909000000000000" pitchFamily="49" charset="-128"/>
            <a:ea typeface="HG創英角ｺﾞｼｯｸUB" panose="020B0909000000000000" pitchFamily="49" charset="-128"/>
          </a:endParaRPr>
        </a:p>
      </dgm:t>
    </dgm:pt>
    <dgm:pt modelId="{0AD5FC09-7D8C-4EA7-B92E-F05E3A4E5DCC}" type="parTrans" cxnId="{73D8FCD0-83EF-4AA1-80AC-0AB71DFF41E8}">
      <dgm:prSet/>
      <dgm:spPr/>
      <dgm:t>
        <a:bodyPr/>
        <a:lstStyle/>
        <a:p>
          <a:pPr algn="ctr"/>
          <a:endParaRPr lang="ja-JP" altLang="en-US" sz="1400" b="0">
            <a:solidFill>
              <a:sysClr val="windowText" lastClr="000000"/>
            </a:solidFill>
            <a:latin typeface="HG創英角ｺﾞｼｯｸUB" panose="020B0909000000000000" pitchFamily="49" charset="-128"/>
            <a:ea typeface="HG創英角ｺﾞｼｯｸUB" panose="020B0909000000000000" pitchFamily="49" charset="-128"/>
          </a:endParaRPr>
        </a:p>
      </dgm:t>
    </dgm:pt>
    <dgm:pt modelId="{5A56B3F3-383F-4D59-8322-4A15BD4293E3}" type="sibTrans" cxnId="{73D8FCD0-83EF-4AA1-80AC-0AB71DFF41E8}">
      <dgm:prSet custT="1"/>
      <dgm:spPr/>
      <dgm:t>
        <a:bodyPr/>
        <a:lstStyle/>
        <a:p>
          <a:pPr algn="ctr"/>
          <a:endParaRPr lang="ja-JP" altLang="en-US" sz="1400" b="0">
            <a:solidFill>
              <a:sysClr val="windowText" lastClr="000000"/>
            </a:solidFill>
            <a:latin typeface="HG創英角ｺﾞｼｯｸUB" panose="020B0909000000000000" pitchFamily="49" charset="-128"/>
            <a:ea typeface="HG創英角ｺﾞｼｯｸUB" panose="020B0909000000000000" pitchFamily="49" charset="-128"/>
          </a:endParaRPr>
        </a:p>
      </dgm:t>
    </dgm:pt>
    <dgm:pt modelId="{EFFBE79A-8D14-44CA-8D76-9CBB5F1ABE8B}">
      <dgm:prSet custT="1"/>
      <dgm:spPr/>
      <dgm:t>
        <a:bodyPr/>
        <a:lstStyle/>
        <a:p>
          <a:pPr algn="ctr"/>
          <a:r>
            <a:rPr lang="ja-JP" altLang="en-US" sz="1400" b="0" dirty="0">
              <a:latin typeface="HG創英角ｺﾞｼｯｸUB" panose="020B0909000000000000" pitchFamily="49" charset="-128"/>
              <a:ea typeface="HG創英角ｺﾞｼｯｸUB" panose="020B0909000000000000" pitchFamily="49" charset="-128"/>
            </a:rPr>
            <a:t>脆弱性対策の適用判断</a:t>
          </a:r>
        </a:p>
      </dgm:t>
    </dgm:pt>
    <dgm:pt modelId="{14CF5446-FF4D-4814-BEC5-4DE35A2AD0EC}" type="parTrans" cxnId="{08EE0E98-CBAD-4CB8-9F59-343C2C268B77}">
      <dgm:prSet/>
      <dgm:spPr/>
      <dgm:t>
        <a:bodyPr/>
        <a:lstStyle/>
        <a:p>
          <a:pPr algn="ctr"/>
          <a:endParaRPr lang="ja-JP" altLang="en-US" sz="1400" b="0">
            <a:solidFill>
              <a:sysClr val="windowText" lastClr="000000"/>
            </a:solidFill>
            <a:latin typeface="HG創英角ｺﾞｼｯｸUB" panose="020B0909000000000000" pitchFamily="49" charset="-128"/>
            <a:ea typeface="HG創英角ｺﾞｼｯｸUB" panose="020B0909000000000000" pitchFamily="49" charset="-128"/>
          </a:endParaRPr>
        </a:p>
      </dgm:t>
    </dgm:pt>
    <dgm:pt modelId="{1BFE59C2-3E36-471F-AE7F-B97A55E3D58E}" type="sibTrans" cxnId="{08EE0E98-CBAD-4CB8-9F59-343C2C268B77}">
      <dgm:prSet custT="1"/>
      <dgm:spPr/>
      <dgm:t>
        <a:bodyPr/>
        <a:lstStyle/>
        <a:p>
          <a:pPr algn="ctr"/>
          <a:endParaRPr lang="ja-JP" altLang="en-US" sz="1400" b="0">
            <a:solidFill>
              <a:sysClr val="windowText" lastClr="000000"/>
            </a:solidFill>
            <a:latin typeface="HG創英角ｺﾞｼｯｸUB" panose="020B0909000000000000" pitchFamily="49" charset="-128"/>
            <a:ea typeface="HG創英角ｺﾞｼｯｸUB" panose="020B0909000000000000" pitchFamily="49" charset="-128"/>
          </a:endParaRPr>
        </a:p>
      </dgm:t>
    </dgm:pt>
    <dgm:pt modelId="{383EE9C1-3381-4926-8180-8756FD61210B}">
      <dgm:prSet custT="1"/>
      <dgm:spPr/>
      <dgm:t>
        <a:bodyPr/>
        <a:lstStyle/>
        <a:p>
          <a:pPr algn="ctr"/>
          <a:r>
            <a:rPr lang="ja-JP" altLang="en-US" sz="1400" b="0" baseline="0">
              <a:solidFill>
                <a:schemeClr val="dk1"/>
              </a:solidFill>
              <a:effectLst/>
              <a:latin typeface="HG創英角ｺﾞｼｯｸUB" panose="020B0909000000000000" pitchFamily="49" charset="-128"/>
              <a:ea typeface="HG創英角ｺﾞｼｯｸUB" panose="020B0909000000000000" pitchFamily="49" charset="-128"/>
              <a:cs typeface="+mn-cs"/>
            </a:rPr>
            <a:t>脆弱性の影響度の確認</a:t>
          </a:r>
          <a:endParaRPr lang="ja-JP" altLang="en-US" sz="1400" b="0" dirty="0">
            <a:latin typeface="HG創英角ｺﾞｼｯｸUB" panose="020B0909000000000000" pitchFamily="49" charset="-128"/>
            <a:ea typeface="HG創英角ｺﾞｼｯｸUB" panose="020B0909000000000000" pitchFamily="49" charset="-128"/>
          </a:endParaRPr>
        </a:p>
      </dgm:t>
    </dgm:pt>
    <dgm:pt modelId="{E862BE14-98FE-4350-87C9-FC1EC6AF134E}" type="sibTrans" cxnId="{35ACF8FE-D833-404E-A675-FFBAE548226F}">
      <dgm:prSet custT="1"/>
      <dgm:spPr/>
      <dgm:t>
        <a:bodyPr/>
        <a:lstStyle/>
        <a:p>
          <a:pPr algn="ctr"/>
          <a:endParaRPr lang="ja-JP" altLang="en-US" sz="1400" b="0">
            <a:solidFill>
              <a:sysClr val="windowText" lastClr="000000"/>
            </a:solidFill>
            <a:latin typeface="HG創英角ｺﾞｼｯｸUB" panose="020B0909000000000000" pitchFamily="49" charset="-128"/>
            <a:ea typeface="HG創英角ｺﾞｼｯｸUB" panose="020B0909000000000000" pitchFamily="49" charset="-128"/>
          </a:endParaRPr>
        </a:p>
      </dgm:t>
    </dgm:pt>
    <dgm:pt modelId="{15907FD7-55A7-457F-AE10-A5C69F903BB7}" type="parTrans" cxnId="{35ACF8FE-D833-404E-A675-FFBAE548226F}">
      <dgm:prSet/>
      <dgm:spPr/>
      <dgm:t>
        <a:bodyPr/>
        <a:lstStyle/>
        <a:p>
          <a:pPr algn="ctr"/>
          <a:endParaRPr lang="ja-JP" altLang="en-US" sz="1400" b="0">
            <a:solidFill>
              <a:sysClr val="windowText" lastClr="000000"/>
            </a:solidFill>
            <a:latin typeface="HG創英角ｺﾞｼｯｸUB" panose="020B0909000000000000" pitchFamily="49" charset="-128"/>
            <a:ea typeface="HG創英角ｺﾞｼｯｸUB" panose="020B0909000000000000" pitchFamily="49" charset="-128"/>
          </a:endParaRPr>
        </a:p>
      </dgm:t>
    </dgm:pt>
    <dgm:pt modelId="{44F6DA53-EBE8-47EB-8C8B-3785B293D235}">
      <dgm:prSet custT="1"/>
      <dgm:spPr/>
      <dgm:t>
        <a:bodyPr/>
        <a:lstStyle/>
        <a:p>
          <a:pPr algn="ctr"/>
          <a:r>
            <a:rPr lang="ja-JP" altLang="en-US" sz="1400" b="0" dirty="0">
              <a:latin typeface="HG創英角ｺﾞｼｯｸUB" panose="020B0909000000000000" pitchFamily="49" charset="-128"/>
              <a:ea typeface="HG創英角ｺﾞｼｯｸUB" panose="020B0909000000000000" pitchFamily="49" charset="-128"/>
            </a:rPr>
            <a:t>バージョン情報の確認</a:t>
          </a:r>
        </a:p>
      </dgm:t>
    </dgm:pt>
    <dgm:pt modelId="{68A5B1E3-DAC5-4D8E-A922-5C03B5BA8534}" type="parTrans" cxnId="{65BE8D15-1B00-4B75-AD59-592D3C6F257A}">
      <dgm:prSet/>
      <dgm:spPr/>
      <dgm:t>
        <a:bodyPr/>
        <a:lstStyle/>
        <a:p>
          <a:pPr algn="ctr"/>
          <a:endParaRPr kumimoji="1" lang="ja-JP" altLang="en-US" sz="1400"/>
        </a:p>
      </dgm:t>
    </dgm:pt>
    <dgm:pt modelId="{9E4405ED-4D31-44C3-99AF-13E9D51F82A0}" type="sibTrans" cxnId="{65BE8D15-1B00-4B75-AD59-592D3C6F257A}">
      <dgm:prSet custT="1"/>
      <dgm:spPr/>
      <dgm:t>
        <a:bodyPr/>
        <a:lstStyle/>
        <a:p>
          <a:pPr algn="ctr"/>
          <a:endParaRPr kumimoji="1" lang="ja-JP" altLang="en-US" sz="1400"/>
        </a:p>
      </dgm:t>
    </dgm:pt>
    <dgm:pt modelId="{3E52C5B8-BAFE-4E79-9A57-F75F072B5884}" type="pres">
      <dgm:prSet presAssocID="{0488D1FB-4C8D-44A2-BFDF-3DE96CC3897F}" presName="Name0" presStyleCnt="0">
        <dgm:presLayoutVars>
          <dgm:dir/>
          <dgm:resizeHandles val="exact"/>
        </dgm:presLayoutVars>
      </dgm:prSet>
      <dgm:spPr/>
    </dgm:pt>
    <dgm:pt modelId="{FFE56A2C-1CFB-44DE-AFD6-7F5E46F955E9}" type="pres">
      <dgm:prSet presAssocID="{F7C83A59-52A6-48A5-96A6-26F65368FFF4}" presName="node" presStyleLbl="node1" presStyleIdx="0" presStyleCnt="5" custFlipHor="1" custScaleX="203071" custScaleY="132506">
        <dgm:presLayoutVars>
          <dgm:bulletEnabled val="1"/>
        </dgm:presLayoutVars>
      </dgm:prSet>
      <dgm:spPr/>
    </dgm:pt>
    <dgm:pt modelId="{1F5010DA-2883-4CF4-BE0B-CA3FAB5F1ED9}" type="pres">
      <dgm:prSet presAssocID="{8E474AD3-1DF0-4140-AD00-763D8FDED430}" presName="sibTrans" presStyleLbl="sibTrans2D1" presStyleIdx="0" presStyleCnt="4" custScaleX="118694"/>
      <dgm:spPr/>
    </dgm:pt>
    <dgm:pt modelId="{CCC29F3C-C21E-446A-9DDD-9DD7C82E2331}" type="pres">
      <dgm:prSet presAssocID="{8E474AD3-1DF0-4140-AD00-763D8FDED430}" presName="connectorText" presStyleLbl="sibTrans2D1" presStyleIdx="0" presStyleCnt="4"/>
      <dgm:spPr/>
    </dgm:pt>
    <dgm:pt modelId="{FEBBF066-45AE-4AE1-8569-A53BDCE6274D}" type="pres">
      <dgm:prSet presAssocID="{44F6DA53-EBE8-47EB-8C8B-3785B293D235}" presName="node" presStyleLbl="node1" presStyleIdx="1" presStyleCnt="5" custFlipHor="1" custScaleX="203071" custScaleY="132506">
        <dgm:presLayoutVars>
          <dgm:bulletEnabled val="1"/>
        </dgm:presLayoutVars>
      </dgm:prSet>
      <dgm:spPr/>
    </dgm:pt>
    <dgm:pt modelId="{82A88EAE-80C7-4440-A8ED-D91BE25489E4}" type="pres">
      <dgm:prSet presAssocID="{9E4405ED-4D31-44C3-99AF-13E9D51F82A0}" presName="sibTrans" presStyleLbl="sibTrans2D1" presStyleIdx="1" presStyleCnt="4" custScaleX="118694"/>
      <dgm:spPr/>
    </dgm:pt>
    <dgm:pt modelId="{5FC3183C-50F8-4E31-811F-178D2A2A7BC3}" type="pres">
      <dgm:prSet presAssocID="{9E4405ED-4D31-44C3-99AF-13E9D51F82A0}" presName="connectorText" presStyleLbl="sibTrans2D1" presStyleIdx="1" presStyleCnt="4"/>
      <dgm:spPr/>
    </dgm:pt>
    <dgm:pt modelId="{B1DB730F-C2EF-4E1D-A8C9-481847451E04}" type="pres">
      <dgm:prSet presAssocID="{8D41213A-510D-4964-A134-6DCA883FBACD}" presName="node" presStyleLbl="node1" presStyleIdx="2" presStyleCnt="5" custFlipHor="1" custScaleX="203071" custScaleY="132506">
        <dgm:presLayoutVars>
          <dgm:bulletEnabled val="1"/>
        </dgm:presLayoutVars>
      </dgm:prSet>
      <dgm:spPr/>
    </dgm:pt>
    <dgm:pt modelId="{1D841FB9-5B53-4BA4-8262-68F853D920CD}" type="pres">
      <dgm:prSet presAssocID="{5A56B3F3-383F-4D59-8322-4A15BD4293E3}" presName="sibTrans" presStyleLbl="sibTrans2D1" presStyleIdx="2" presStyleCnt="4" custScaleX="118694"/>
      <dgm:spPr/>
    </dgm:pt>
    <dgm:pt modelId="{66C29614-1880-4023-93E2-13FDE2D36BC0}" type="pres">
      <dgm:prSet presAssocID="{5A56B3F3-383F-4D59-8322-4A15BD4293E3}" presName="connectorText" presStyleLbl="sibTrans2D1" presStyleIdx="2" presStyleCnt="4"/>
      <dgm:spPr/>
    </dgm:pt>
    <dgm:pt modelId="{685FBA1C-93C2-41C5-8F46-5ADA7DB6AD5C}" type="pres">
      <dgm:prSet presAssocID="{383EE9C1-3381-4926-8180-8756FD61210B}" presName="node" presStyleLbl="node1" presStyleIdx="3" presStyleCnt="5" custFlipHor="1" custScaleX="203071" custScaleY="132506">
        <dgm:presLayoutVars>
          <dgm:bulletEnabled val="1"/>
        </dgm:presLayoutVars>
      </dgm:prSet>
      <dgm:spPr/>
    </dgm:pt>
    <dgm:pt modelId="{546F5181-ACAA-473E-88CF-B1B24CA91E6B}" type="pres">
      <dgm:prSet presAssocID="{E862BE14-98FE-4350-87C9-FC1EC6AF134E}" presName="sibTrans" presStyleLbl="sibTrans2D1" presStyleIdx="3" presStyleCnt="4" custScaleX="118694"/>
      <dgm:spPr/>
    </dgm:pt>
    <dgm:pt modelId="{2AB4E5F9-E8DE-43B4-A869-4A7DA48336D8}" type="pres">
      <dgm:prSet presAssocID="{E862BE14-98FE-4350-87C9-FC1EC6AF134E}" presName="connectorText" presStyleLbl="sibTrans2D1" presStyleIdx="3" presStyleCnt="4"/>
      <dgm:spPr/>
    </dgm:pt>
    <dgm:pt modelId="{E7572EEB-1ECF-4492-8506-86F76FEB63CA}" type="pres">
      <dgm:prSet presAssocID="{EFFBE79A-8D14-44CA-8D76-9CBB5F1ABE8B}" presName="node" presStyleLbl="node1" presStyleIdx="4" presStyleCnt="5" custFlipHor="1" custScaleX="203071" custScaleY="132506">
        <dgm:presLayoutVars>
          <dgm:bulletEnabled val="1"/>
        </dgm:presLayoutVars>
      </dgm:prSet>
      <dgm:spPr/>
    </dgm:pt>
  </dgm:ptLst>
  <dgm:cxnLst>
    <dgm:cxn modelId="{012E4905-6F47-4DD6-A63B-A444540FAAC3}" type="presOf" srcId="{8E474AD3-1DF0-4140-AD00-763D8FDED430}" destId="{1F5010DA-2883-4CF4-BE0B-CA3FAB5F1ED9}" srcOrd="0" destOrd="0" presId="urn:microsoft.com/office/officeart/2005/8/layout/process1"/>
    <dgm:cxn modelId="{306F810B-6ADF-475B-B4C1-2DB4988FF51A}" type="presOf" srcId="{9E4405ED-4D31-44C3-99AF-13E9D51F82A0}" destId="{5FC3183C-50F8-4E31-811F-178D2A2A7BC3}" srcOrd="1" destOrd="0" presId="urn:microsoft.com/office/officeart/2005/8/layout/process1"/>
    <dgm:cxn modelId="{4B04430E-3CCB-4822-BB24-53F9839E087F}" type="presOf" srcId="{5A56B3F3-383F-4D59-8322-4A15BD4293E3}" destId="{66C29614-1880-4023-93E2-13FDE2D36BC0}" srcOrd="1" destOrd="0" presId="urn:microsoft.com/office/officeart/2005/8/layout/process1"/>
    <dgm:cxn modelId="{65BE8D15-1B00-4B75-AD59-592D3C6F257A}" srcId="{0488D1FB-4C8D-44A2-BFDF-3DE96CC3897F}" destId="{44F6DA53-EBE8-47EB-8C8B-3785B293D235}" srcOrd="1" destOrd="0" parTransId="{68A5B1E3-DAC5-4D8E-A922-5C03B5BA8534}" sibTransId="{9E4405ED-4D31-44C3-99AF-13E9D51F82A0}"/>
    <dgm:cxn modelId="{74021A22-41FB-44B1-A6B7-A4A3CAF4450F}" type="presOf" srcId="{0488D1FB-4C8D-44A2-BFDF-3DE96CC3897F}" destId="{3E52C5B8-BAFE-4E79-9A57-F75F072B5884}" srcOrd="0" destOrd="0" presId="urn:microsoft.com/office/officeart/2005/8/layout/process1"/>
    <dgm:cxn modelId="{A2AC0733-ACCA-44B3-9F4F-DF208ABA6014}" type="presOf" srcId="{44F6DA53-EBE8-47EB-8C8B-3785B293D235}" destId="{FEBBF066-45AE-4AE1-8569-A53BDCE6274D}" srcOrd="0" destOrd="0" presId="urn:microsoft.com/office/officeart/2005/8/layout/process1"/>
    <dgm:cxn modelId="{7ED4FC43-7A48-4DCF-A9C2-8C215680CDFD}" type="presOf" srcId="{8D41213A-510D-4964-A134-6DCA883FBACD}" destId="{B1DB730F-C2EF-4E1D-A8C9-481847451E04}" srcOrd="0" destOrd="0" presId="urn:microsoft.com/office/officeart/2005/8/layout/process1"/>
    <dgm:cxn modelId="{9379A64A-CC6D-4B9F-8813-9B2081181B76}" type="presOf" srcId="{5A56B3F3-383F-4D59-8322-4A15BD4293E3}" destId="{1D841FB9-5B53-4BA4-8262-68F853D920CD}" srcOrd="0" destOrd="0" presId="urn:microsoft.com/office/officeart/2005/8/layout/process1"/>
    <dgm:cxn modelId="{8B240B6E-2050-44AF-8CC6-6D3837590F4F}" type="presOf" srcId="{E862BE14-98FE-4350-87C9-FC1EC6AF134E}" destId="{546F5181-ACAA-473E-88CF-B1B24CA91E6B}" srcOrd="0" destOrd="0" presId="urn:microsoft.com/office/officeart/2005/8/layout/process1"/>
    <dgm:cxn modelId="{08EE0E98-CBAD-4CB8-9F59-343C2C268B77}" srcId="{0488D1FB-4C8D-44A2-BFDF-3DE96CC3897F}" destId="{EFFBE79A-8D14-44CA-8D76-9CBB5F1ABE8B}" srcOrd="4" destOrd="0" parTransId="{14CF5446-FF4D-4814-BEC5-4DE35A2AD0EC}" sibTransId="{1BFE59C2-3E36-471F-AE7F-B97A55E3D58E}"/>
    <dgm:cxn modelId="{34E1A5AB-6A58-4826-A3FB-667AA76318A2}" type="presOf" srcId="{E862BE14-98FE-4350-87C9-FC1EC6AF134E}" destId="{2AB4E5F9-E8DE-43B4-A869-4A7DA48336D8}" srcOrd="1" destOrd="0" presId="urn:microsoft.com/office/officeart/2005/8/layout/process1"/>
    <dgm:cxn modelId="{2D6EEEB0-05CC-4ED6-A1E9-8D56BF199A6E}" type="presOf" srcId="{F7C83A59-52A6-48A5-96A6-26F65368FFF4}" destId="{FFE56A2C-1CFB-44DE-AFD6-7F5E46F955E9}" srcOrd="0" destOrd="0" presId="urn:microsoft.com/office/officeart/2005/8/layout/process1"/>
    <dgm:cxn modelId="{D5BBE9B4-3DE9-4D4C-87C8-731C8A0981D0}" type="presOf" srcId="{8E474AD3-1DF0-4140-AD00-763D8FDED430}" destId="{CCC29F3C-C21E-446A-9DDD-9DD7C82E2331}" srcOrd="1" destOrd="0" presId="urn:microsoft.com/office/officeart/2005/8/layout/process1"/>
    <dgm:cxn modelId="{2FF455CF-EE05-47B5-8301-6164A1632F63}" type="presOf" srcId="{383EE9C1-3381-4926-8180-8756FD61210B}" destId="{685FBA1C-93C2-41C5-8F46-5ADA7DB6AD5C}" srcOrd="0" destOrd="0" presId="urn:microsoft.com/office/officeart/2005/8/layout/process1"/>
    <dgm:cxn modelId="{73D8FCD0-83EF-4AA1-80AC-0AB71DFF41E8}" srcId="{0488D1FB-4C8D-44A2-BFDF-3DE96CC3897F}" destId="{8D41213A-510D-4964-A134-6DCA883FBACD}" srcOrd="2" destOrd="0" parTransId="{0AD5FC09-7D8C-4EA7-B92E-F05E3A4E5DCC}" sibTransId="{5A56B3F3-383F-4D59-8322-4A15BD4293E3}"/>
    <dgm:cxn modelId="{D8BEDAD6-FA49-4C83-8AB2-83CF88C68776}" type="presOf" srcId="{9E4405ED-4D31-44C3-99AF-13E9D51F82A0}" destId="{82A88EAE-80C7-4440-A8ED-D91BE25489E4}" srcOrd="0" destOrd="0" presId="urn:microsoft.com/office/officeart/2005/8/layout/process1"/>
    <dgm:cxn modelId="{DE09C5DF-7F25-4907-A59C-0CF94C8C7CB6}" type="presOf" srcId="{EFFBE79A-8D14-44CA-8D76-9CBB5F1ABE8B}" destId="{E7572EEB-1ECF-4492-8506-86F76FEB63CA}" srcOrd="0" destOrd="0" presId="urn:microsoft.com/office/officeart/2005/8/layout/process1"/>
    <dgm:cxn modelId="{2912DAF5-C249-426D-952A-55AC6237AD49}" srcId="{0488D1FB-4C8D-44A2-BFDF-3DE96CC3897F}" destId="{F7C83A59-52A6-48A5-96A6-26F65368FFF4}" srcOrd="0" destOrd="0" parTransId="{8A1B6AF2-2BF1-4529-B73F-520B7274E728}" sibTransId="{8E474AD3-1DF0-4140-AD00-763D8FDED430}"/>
    <dgm:cxn modelId="{35ACF8FE-D833-404E-A675-FFBAE548226F}" srcId="{0488D1FB-4C8D-44A2-BFDF-3DE96CC3897F}" destId="{383EE9C1-3381-4926-8180-8756FD61210B}" srcOrd="3" destOrd="0" parTransId="{15907FD7-55A7-457F-AE10-A5C69F903BB7}" sibTransId="{E862BE14-98FE-4350-87C9-FC1EC6AF134E}"/>
    <dgm:cxn modelId="{8666EB53-E168-4657-A467-FE1D666A8F09}" type="presParOf" srcId="{3E52C5B8-BAFE-4E79-9A57-F75F072B5884}" destId="{FFE56A2C-1CFB-44DE-AFD6-7F5E46F955E9}" srcOrd="0" destOrd="0" presId="urn:microsoft.com/office/officeart/2005/8/layout/process1"/>
    <dgm:cxn modelId="{AAB5DA39-F8C1-417A-AC34-F5CE2FDE841A}" type="presParOf" srcId="{3E52C5B8-BAFE-4E79-9A57-F75F072B5884}" destId="{1F5010DA-2883-4CF4-BE0B-CA3FAB5F1ED9}" srcOrd="1" destOrd="0" presId="urn:microsoft.com/office/officeart/2005/8/layout/process1"/>
    <dgm:cxn modelId="{C14325C5-CF16-445B-9F7B-8B55E7E5264A}" type="presParOf" srcId="{1F5010DA-2883-4CF4-BE0B-CA3FAB5F1ED9}" destId="{CCC29F3C-C21E-446A-9DDD-9DD7C82E2331}" srcOrd="0" destOrd="0" presId="urn:microsoft.com/office/officeart/2005/8/layout/process1"/>
    <dgm:cxn modelId="{E1CF0228-D5E1-4629-A77E-22442A84CC18}" type="presParOf" srcId="{3E52C5B8-BAFE-4E79-9A57-F75F072B5884}" destId="{FEBBF066-45AE-4AE1-8569-A53BDCE6274D}" srcOrd="2" destOrd="0" presId="urn:microsoft.com/office/officeart/2005/8/layout/process1"/>
    <dgm:cxn modelId="{0C0AFFB7-F088-4BB8-876E-C40D540CFB63}" type="presParOf" srcId="{3E52C5B8-BAFE-4E79-9A57-F75F072B5884}" destId="{82A88EAE-80C7-4440-A8ED-D91BE25489E4}" srcOrd="3" destOrd="0" presId="urn:microsoft.com/office/officeart/2005/8/layout/process1"/>
    <dgm:cxn modelId="{68509DE2-575B-4B9F-BF97-148C8660F20D}" type="presParOf" srcId="{82A88EAE-80C7-4440-A8ED-D91BE25489E4}" destId="{5FC3183C-50F8-4E31-811F-178D2A2A7BC3}" srcOrd="0" destOrd="0" presId="urn:microsoft.com/office/officeart/2005/8/layout/process1"/>
    <dgm:cxn modelId="{906E201B-E06A-4F3A-90CC-B098CA8AC25A}" type="presParOf" srcId="{3E52C5B8-BAFE-4E79-9A57-F75F072B5884}" destId="{B1DB730F-C2EF-4E1D-A8C9-481847451E04}" srcOrd="4" destOrd="0" presId="urn:microsoft.com/office/officeart/2005/8/layout/process1"/>
    <dgm:cxn modelId="{FF4A2A26-70CD-4292-9854-3F22E1E4BD85}" type="presParOf" srcId="{3E52C5B8-BAFE-4E79-9A57-F75F072B5884}" destId="{1D841FB9-5B53-4BA4-8262-68F853D920CD}" srcOrd="5" destOrd="0" presId="urn:microsoft.com/office/officeart/2005/8/layout/process1"/>
    <dgm:cxn modelId="{408718E3-1ED7-4195-8F7A-18BBD4251CFC}" type="presParOf" srcId="{1D841FB9-5B53-4BA4-8262-68F853D920CD}" destId="{66C29614-1880-4023-93E2-13FDE2D36BC0}" srcOrd="0" destOrd="0" presId="urn:microsoft.com/office/officeart/2005/8/layout/process1"/>
    <dgm:cxn modelId="{BD008D3B-CF61-4634-8E11-8618AE43775D}" type="presParOf" srcId="{3E52C5B8-BAFE-4E79-9A57-F75F072B5884}" destId="{685FBA1C-93C2-41C5-8F46-5ADA7DB6AD5C}" srcOrd="6" destOrd="0" presId="urn:microsoft.com/office/officeart/2005/8/layout/process1"/>
    <dgm:cxn modelId="{7B6E4A77-2C64-4B97-89F4-5827F921E58F}" type="presParOf" srcId="{3E52C5B8-BAFE-4E79-9A57-F75F072B5884}" destId="{546F5181-ACAA-473E-88CF-B1B24CA91E6B}" srcOrd="7" destOrd="0" presId="urn:microsoft.com/office/officeart/2005/8/layout/process1"/>
    <dgm:cxn modelId="{747469AF-8DF5-4848-A766-932D25FC788C}" type="presParOf" srcId="{546F5181-ACAA-473E-88CF-B1B24CA91E6B}" destId="{2AB4E5F9-E8DE-43B4-A869-4A7DA48336D8}" srcOrd="0" destOrd="0" presId="urn:microsoft.com/office/officeart/2005/8/layout/process1"/>
    <dgm:cxn modelId="{A6CD6F8C-6A95-4081-A2EB-8BECDAA02EB5}" type="presParOf" srcId="{3E52C5B8-BAFE-4E79-9A57-F75F072B5884}" destId="{E7572EEB-1ECF-4492-8506-86F76FEB63CA}" srcOrd="8" destOrd="0" presId="urn:microsoft.com/office/officeart/2005/8/layout/process1"/>
  </dgm:cxnLst>
  <dgm:bg/>
  <dgm:whole/>
  <dgm:extLst>
    <a:ext uri="http://schemas.microsoft.com/office/drawing/2008/diagram">
      <dsp:dataModelExt xmlns:dsp="http://schemas.microsoft.com/office/drawing/2008/diagram" relId="rId30"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74FA763-7ECD-4FAA-A800-70B3EB362CAD}">
      <dsp:nvSpPr>
        <dsp:cNvPr id="0" name=""/>
        <dsp:cNvSpPr/>
      </dsp:nvSpPr>
      <dsp:spPr>
        <a:xfrm>
          <a:off x="3565" y="111822"/>
          <a:ext cx="939761" cy="909830"/>
        </a:xfrm>
        <a:prstGeom prst="roundRect">
          <a:avLst>
            <a:gd name="adj" fmla="val 10000"/>
          </a:avLst>
        </a:prstGeom>
        <a:solidFill>
          <a:schemeClr val="accent3">
            <a:lumMod val="40000"/>
            <a:lumOff val="60000"/>
          </a:schemeClr>
        </a:soli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53340" tIns="53340" rIns="53340" bIns="53340" numCol="1" spcCol="1270" anchor="ctr" anchorCtr="0">
          <a:noAutofit/>
        </a:bodyPr>
        <a:lstStyle/>
        <a:p>
          <a:pPr marL="0" lvl="0" indent="0" algn="ctr" defTabSz="622300">
            <a:lnSpc>
              <a:spcPct val="90000"/>
            </a:lnSpc>
            <a:spcBef>
              <a:spcPct val="0"/>
            </a:spcBef>
            <a:spcAft>
              <a:spcPct val="35000"/>
            </a:spcAft>
            <a:buNone/>
          </a:pPr>
          <a:r>
            <a:rPr kumimoji="1" lang="ja-JP" altLang="en-US" sz="1400" kern="1200" dirty="0">
              <a:latin typeface="HGP創英角ｺﾞｼｯｸUB" panose="020B0900000000000000" pitchFamily="50" charset="-128"/>
              <a:ea typeface="HGP創英角ｺﾞｼｯｸUB" panose="020B0900000000000000" pitchFamily="50" charset="-128"/>
            </a:rPr>
            <a:t>収集対象ソフトウェアの把握</a:t>
          </a:r>
        </a:p>
      </dsp:txBody>
      <dsp:txXfrm>
        <a:off x="30213" y="138470"/>
        <a:ext cx="886465" cy="856534"/>
      </dsp:txXfrm>
    </dsp:sp>
    <dsp:sp modelId="{22BEA73F-7B67-4D7A-A87A-894A62EF485D}">
      <dsp:nvSpPr>
        <dsp:cNvPr id="0" name=""/>
        <dsp:cNvSpPr/>
      </dsp:nvSpPr>
      <dsp:spPr>
        <a:xfrm>
          <a:off x="1008704" y="485669"/>
          <a:ext cx="138600" cy="162136"/>
        </a:xfrm>
        <a:prstGeom prst="rightArrow">
          <a:avLst>
            <a:gd name="adj1" fmla="val 60000"/>
            <a:gd name="adj2" fmla="val 50000"/>
          </a:avLst>
        </a:prstGeom>
        <a:gradFill rotWithShape="0">
          <a:gsLst>
            <a:gs pos="0">
              <a:schemeClr val="accent2">
                <a:hueOff val="0"/>
                <a:satOff val="0"/>
                <a:lumOff val="0"/>
                <a:alphaOff val="0"/>
                <a:lumMod val="110000"/>
                <a:satMod val="105000"/>
                <a:tint val="67000"/>
              </a:schemeClr>
            </a:gs>
            <a:gs pos="50000">
              <a:schemeClr val="accent2">
                <a:hueOff val="0"/>
                <a:satOff val="0"/>
                <a:lumOff val="0"/>
                <a:alphaOff val="0"/>
                <a:lumMod val="105000"/>
                <a:satMod val="103000"/>
                <a:tint val="73000"/>
              </a:schemeClr>
            </a:gs>
            <a:gs pos="100000">
              <a:schemeClr val="accent2">
                <a:hueOff val="0"/>
                <a:satOff val="0"/>
                <a:lumOff val="0"/>
                <a:alphaOff val="0"/>
                <a:lumMod val="105000"/>
                <a:satMod val="109000"/>
                <a:tint val="81000"/>
              </a:schemeClr>
            </a:gs>
          </a:gsLst>
          <a:lin ang="5400000" scaled="0"/>
        </a:gradFill>
        <a:ln>
          <a:noFill/>
        </a:ln>
        <a:effectLst/>
      </dsp:spPr>
      <dsp:style>
        <a:lnRef idx="0">
          <a:scrgbClr r="0" g="0" b="0"/>
        </a:lnRef>
        <a:fillRef idx="2">
          <a:scrgbClr r="0" g="0" b="0"/>
        </a:fillRef>
        <a:effectRef idx="1">
          <a:scrgbClr r="0" g="0" b="0"/>
        </a:effectRef>
        <a:fontRef idx="minor">
          <a:schemeClr val="dk1"/>
        </a:fontRef>
      </dsp:style>
      <dsp:txBody>
        <a:bodyPr spcFirstLastPara="0" vert="horz" wrap="square" lIns="0" tIns="0" rIns="0" bIns="0" numCol="1" spcCol="1270" anchor="ctr" anchorCtr="0">
          <a:noAutofit/>
        </a:bodyPr>
        <a:lstStyle/>
        <a:p>
          <a:pPr marL="0" lvl="0" indent="0" algn="ctr" defTabSz="622300">
            <a:lnSpc>
              <a:spcPct val="90000"/>
            </a:lnSpc>
            <a:spcBef>
              <a:spcPct val="0"/>
            </a:spcBef>
            <a:spcAft>
              <a:spcPct val="35000"/>
            </a:spcAft>
            <a:buNone/>
          </a:pPr>
          <a:endParaRPr kumimoji="1" lang="ja-JP" altLang="en-US" sz="1400" kern="1200">
            <a:latin typeface="HGP創英角ｺﾞｼｯｸUB" panose="020B0900000000000000" pitchFamily="50" charset="-128"/>
            <a:ea typeface="HGP創英角ｺﾞｼｯｸUB" panose="020B0900000000000000" pitchFamily="50" charset="-128"/>
          </a:endParaRPr>
        </a:p>
      </dsp:txBody>
      <dsp:txXfrm>
        <a:off x="1008704" y="518096"/>
        <a:ext cx="97020" cy="97282"/>
      </dsp:txXfrm>
    </dsp:sp>
    <dsp:sp modelId="{5970AAC9-3921-4383-810A-75E0C55BC9B5}">
      <dsp:nvSpPr>
        <dsp:cNvPr id="0" name=""/>
        <dsp:cNvSpPr/>
      </dsp:nvSpPr>
      <dsp:spPr>
        <a:xfrm>
          <a:off x="1204837" y="111822"/>
          <a:ext cx="939761" cy="909830"/>
        </a:xfrm>
        <a:prstGeom prst="roundRect">
          <a:avLst>
            <a:gd name="adj" fmla="val 10000"/>
          </a:avLst>
        </a:prstGeom>
        <a:solidFill>
          <a:schemeClr val="accent5">
            <a:lumMod val="40000"/>
            <a:lumOff val="60000"/>
          </a:schemeClr>
        </a:soli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53340" tIns="53340" rIns="53340" bIns="53340" numCol="1" spcCol="1270" anchor="ctr" anchorCtr="0">
          <a:noAutofit/>
        </a:bodyPr>
        <a:lstStyle/>
        <a:p>
          <a:pPr marL="0" lvl="0" indent="0" algn="ctr" defTabSz="622300">
            <a:lnSpc>
              <a:spcPct val="90000"/>
            </a:lnSpc>
            <a:spcBef>
              <a:spcPct val="0"/>
            </a:spcBef>
            <a:spcAft>
              <a:spcPct val="35000"/>
            </a:spcAft>
            <a:buNone/>
          </a:pPr>
          <a:r>
            <a:rPr kumimoji="1" lang="ja-JP" altLang="en-US" sz="1400" kern="1200" dirty="0">
              <a:latin typeface="HGP創英角ｺﾞｼｯｸUB" panose="020B0900000000000000" pitchFamily="50" charset="-128"/>
              <a:ea typeface="HGP創英角ｺﾞｼｯｸUB" panose="020B0900000000000000" pitchFamily="50" charset="-128"/>
            </a:rPr>
            <a:t>脆弱性関連情報の収集</a:t>
          </a:r>
        </a:p>
      </dsp:txBody>
      <dsp:txXfrm>
        <a:off x="1231485" y="138470"/>
        <a:ext cx="886465" cy="856534"/>
      </dsp:txXfrm>
    </dsp:sp>
    <dsp:sp modelId="{66D506B2-76BC-4A8A-8782-A5FF504AA659}">
      <dsp:nvSpPr>
        <dsp:cNvPr id="0" name=""/>
        <dsp:cNvSpPr/>
      </dsp:nvSpPr>
      <dsp:spPr>
        <a:xfrm>
          <a:off x="2209976" y="485669"/>
          <a:ext cx="138600" cy="162136"/>
        </a:xfrm>
        <a:prstGeom prst="rightArrow">
          <a:avLst>
            <a:gd name="adj1" fmla="val 60000"/>
            <a:gd name="adj2" fmla="val 50000"/>
          </a:avLst>
        </a:prstGeom>
        <a:gradFill rotWithShape="0">
          <a:gsLst>
            <a:gs pos="0">
              <a:schemeClr val="accent3">
                <a:hueOff val="0"/>
                <a:satOff val="0"/>
                <a:lumOff val="0"/>
                <a:alphaOff val="0"/>
                <a:lumMod val="110000"/>
                <a:satMod val="105000"/>
                <a:tint val="67000"/>
              </a:schemeClr>
            </a:gs>
            <a:gs pos="50000">
              <a:schemeClr val="accent3">
                <a:hueOff val="0"/>
                <a:satOff val="0"/>
                <a:lumOff val="0"/>
                <a:alphaOff val="0"/>
                <a:lumMod val="105000"/>
                <a:satMod val="103000"/>
                <a:tint val="73000"/>
              </a:schemeClr>
            </a:gs>
            <a:gs pos="100000">
              <a:schemeClr val="accent3">
                <a:hueOff val="0"/>
                <a:satOff val="0"/>
                <a:lumOff val="0"/>
                <a:alphaOff val="0"/>
                <a:lumMod val="105000"/>
                <a:satMod val="109000"/>
                <a:tint val="81000"/>
              </a:schemeClr>
            </a:gs>
          </a:gsLst>
          <a:lin ang="5400000" scaled="0"/>
        </a:gradFill>
        <a:ln>
          <a:noFill/>
        </a:ln>
        <a:effectLst/>
      </dsp:spPr>
      <dsp:style>
        <a:lnRef idx="0">
          <a:scrgbClr r="0" g="0" b="0"/>
        </a:lnRef>
        <a:fillRef idx="2">
          <a:scrgbClr r="0" g="0" b="0"/>
        </a:fillRef>
        <a:effectRef idx="1">
          <a:scrgbClr r="0" g="0" b="0"/>
        </a:effectRef>
        <a:fontRef idx="minor">
          <a:schemeClr val="dk1"/>
        </a:fontRef>
      </dsp:style>
      <dsp:txBody>
        <a:bodyPr spcFirstLastPara="0" vert="horz" wrap="square" lIns="0" tIns="0" rIns="0" bIns="0" numCol="1" spcCol="1270" anchor="ctr" anchorCtr="0">
          <a:noAutofit/>
        </a:bodyPr>
        <a:lstStyle/>
        <a:p>
          <a:pPr marL="0" lvl="0" indent="0" algn="ctr" defTabSz="622300">
            <a:lnSpc>
              <a:spcPct val="90000"/>
            </a:lnSpc>
            <a:spcBef>
              <a:spcPct val="0"/>
            </a:spcBef>
            <a:spcAft>
              <a:spcPct val="35000"/>
            </a:spcAft>
            <a:buNone/>
          </a:pPr>
          <a:endParaRPr kumimoji="1" lang="ja-JP" altLang="en-US" sz="1400" kern="1200">
            <a:latin typeface="HGP創英角ｺﾞｼｯｸUB" panose="020B0900000000000000" pitchFamily="50" charset="-128"/>
            <a:ea typeface="HGP創英角ｺﾞｼｯｸUB" panose="020B0900000000000000" pitchFamily="50" charset="-128"/>
          </a:endParaRPr>
        </a:p>
      </dsp:txBody>
      <dsp:txXfrm>
        <a:off x="2209976" y="518096"/>
        <a:ext cx="97020" cy="97282"/>
      </dsp:txXfrm>
    </dsp:sp>
    <dsp:sp modelId="{8FB76142-1211-482C-8F08-99122C4D65EF}">
      <dsp:nvSpPr>
        <dsp:cNvPr id="0" name=""/>
        <dsp:cNvSpPr/>
      </dsp:nvSpPr>
      <dsp:spPr>
        <a:xfrm>
          <a:off x="2406108" y="111822"/>
          <a:ext cx="939761" cy="909830"/>
        </a:xfrm>
        <a:prstGeom prst="roundRect">
          <a:avLst>
            <a:gd name="adj" fmla="val 10000"/>
          </a:avLst>
        </a:prstGeom>
        <a:solidFill>
          <a:schemeClr val="accent6">
            <a:lumMod val="40000"/>
            <a:lumOff val="60000"/>
          </a:schemeClr>
        </a:soli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53340" tIns="53340" rIns="53340" bIns="53340" numCol="1" spcCol="1270" anchor="ctr" anchorCtr="0">
          <a:noAutofit/>
        </a:bodyPr>
        <a:lstStyle/>
        <a:p>
          <a:pPr marL="0" lvl="0" indent="0" algn="ctr" defTabSz="622300">
            <a:lnSpc>
              <a:spcPct val="90000"/>
            </a:lnSpc>
            <a:spcBef>
              <a:spcPct val="0"/>
            </a:spcBef>
            <a:spcAft>
              <a:spcPct val="35000"/>
            </a:spcAft>
            <a:buNone/>
          </a:pPr>
          <a:r>
            <a:rPr kumimoji="1" lang="ja-JP" altLang="en-US" sz="1400" kern="1200" dirty="0">
              <a:latin typeface="HGP創英角ｺﾞｼｯｸUB" panose="020B0900000000000000" pitchFamily="50" charset="-128"/>
              <a:ea typeface="HGP創英角ｺﾞｼｯｸUB" panose="020B0900000000000000" pitchFamily="50" charset="-128"/>
            </a:rPr>
            <a:t>適用判断</a:t>
          </a:r>
          <a:endParaRPr kumimoji="1" lang="en-US" altLang="ja-JP" sz="1400" kern="1200" dirty="0">
            <a:latin typeface="HGP創英角ｺﾞｼｯｸUB" panose="020B0900000000000000" pitchFamily="50" charset="-128"/>
            <a:ea typeface="HGP創英角ｺﾞｼｯｸUB" panose="020B0900000000000000" pitchFamily="50" charset="-128"/>
          </a:endParaRPr>
        </a:p>
      </dsp:txBody>
      <dsp:txXfrm>
        <a:off x="2432756" y="138470"/>
        <a:ext cx="886465" cy="856534"/>
      </dsp:txXfrm>
    </dsp:sp>
    <dsp:sp modelId="{ACCEE3A9-059C-49E3-9F06-574715A63EB0}">
      <dsp:nvSpPr>
        <dsp:cNvPr id="0" name=""/>
        <dsp:cNvSpPr/>
      </dsp:nvSpPr>
      <dsp:spPr>
        <a:xfrm>
          <a:off x="3411247" y="485669"/>
          <a:ext cx="138600" cy="162136"/>
        </a:xfrm>
        <a:prstGeom prst="rightArrow">
          <a:avLst>
            <a:gd name="adj1" fmla="val 60000"/>
            <a:gd name="adj2" fmla="val 50000"/>
          </a:avLst>
        </a:prstGeom>
        <a:gradFill rotWithShape="0">
          <a:gsLst>
            <a:gs pos="0">
              <a:schemeClr val="accent4">
                <a:hueOff val="0"/>
                <a:satOff val="0"/>
                <a:lumOff val="0"/>
                <a:alphaOff val="0"/>
                <a:lumMod val="110000"/>
                <a:satMod val="105000"/>
                <a:tint val="67000"/>
              </a:schemeClr>
            </a:gs>
            <a:gs pos="50000">
              <a:schemeClr val="accent4">
                <a:hueOff val="0"/>
                <a:satOff val="0"/>
                <a:lumOff val="0"/>
                <a:alphaOff val="0"/>
                <a:lumMod val="105000"/>
                <a:satMod val="103000"/>
                <a:tint val="73000"/>
              </a:schemeClr>
            </a:gs>
            <a:gs pos="100000">
              <a:schemeClr val="accent4">
                <a:hueOff val="0"/>
                <a:satOff val="0"/>
                <a:lumOff val="0"/>
                <a:alphaOff val="0"/>
                <a:lumMod val="105000"/>
                <a:satMod val="109000"/>
                <a:tint val="81000"/>
              </a:schemeClr>
            </a:gs>
          </a:gsLst>
          <a:lin ang="5400000" scaled="0"/>
        </a:gradFill>
        <a:ln>
          <a:noFill/>
        </a:ln>
        <a:effectLst/>
      </dsp:spPr>
      <dsp:style>
        <a:lnRef idx="0">
          <a:scrgbClr r="0" g="0" b="0"/>
        </a:lnRef>
        <a:fillRef idx="2">
          <a:scrgbClr r="0" g="0" b="0"/>
        </a:fillRef>
        <a:effectRef idx="1">
          <a:scrgbClr r="0" g="0" b="0"/>
        </a:effectRef>
        <a:fontRef idx="minor">
          <a:schemeClr val="dk1"/>
        </a:fontRef>
      </dsp:style>
      <dsp:txBody>
        <a:bodyPr spcFirstLastPara="0" vert="horz" wrap="square" lIns="0" tIns="0" rIns="0" bIns="0" numCol="1" spcCol="1270" anchor="ctr" anchorCtr="0">
          <a:noAutofit/>
        </a:bodyPr>
        <a:lstStyle/>
        <a:p>
          <a:pPr marL="0" lvl="0" indent="0" algn="ctr" defTabSz="622300">
            <a:lnSpc>
              <a:spcPct val="90000"/>
            </a:lnSpc>
            <a:spcBef>
              <a:spcPct val="0"/>
            </a:spcBef>
            <a:spcAft>
              <a:spcPct val="35000"/>
            </a:spcAft>
            <a:buNone/>
          </a:pPr>
          <a:endParaRPr kumimoji="1" lang="ja-JP" altLang="en-US" sz="1400" kern="1200">
            <a:latin typeface="HGP創英角ｺﾞｼｯｸUB" panose="020B0900000000000000" pitchFamily="50" charset="-128"/>
            <a:ea typeface="HGP創英角ｺﾞｼｯｸUB" panose="020B0900000000000000" pitchFamily="50" charset="-128"/>
          </a:endParaRPr>
        </a:p>
      </dsp:txBody>
      <dsp:txXfrm>
        <a:off x="3411247" y="518096"/>
        <a:ext cx="97020" cy="97282"/>
      </dsp:txXfrm>
    </dsp:sp>
    <dsp:sp modelId="{8866F7DC-0B89-4BDE-8AC5-8681E84F538E}">
      <dsp:nvSpPr>
        <dsp:cNvPr id="0" name=""/>
        <dsp:cNvSpPr/>
      </dsp:nvSpPr>
      <dsp:spPr>
        <a:xfrm>
          <a:off x="3607379" y="111822"/>
          <a:ext cx="939761" cy="909830"/>
        </a:xfrm>
        <a:prstGeom prst="roundRect">
          <a:avLst>
            <a:gd name="adj" fmla="val 10000"/>
          </a:avLst>
        </a:prstGeom>
        <a:solidFill>
          <a:srgbClr val="F7F99F"/>
        </a:soli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53340" tIns="53340" rIns="53340" bIns="53340" numCol="1" spcCol="1270" anchor="ctr" anchorCtr="0">
          <a:noAutofit/>
        </a:bodyPr>
        <a:lstStyle/>
        <a:p>
          <a:pPr marL="0" lvl="0" indent="0" algn="ctr" defTabSz="622300">
            <a:lnSpc>
              <a:spcPct val="90000"/>
            </a:lnSpc>
            <a:spcBef>
              <a:spcPct val="0"/>
            </a:spcBef>
            <a:spcAft>
              <a:spcPct val="35000"/>
            </a:spcAft>
            <a:buNone/>
          </a:pPr>
          <a:r>
            <a:rPr kumimoji="1" lang="ja-JP" altLang="en-US" sz="1400" kern="1200" dirty="0">
              <a:latin typeface="HGP創英角ｺﾞｼｯｸUB" panose="020B0900000000000000" pitchFamily="50" charset="-128"/>
              <a:ea typeface="HGP創英角ｺﾞｼｯｸUB" panose="020B0900000000000000" pitchFamily="50" charset="-128"/>
            </a:rPr>
            <a:t>計画</a:t>
          </a:r>
        </a:p>
      </dsp:txBody>
      <dsp:txXfrm>
        <a:off x="3634027" y="138470"/>
        <a:ext cx="886465" cy="856534"/>
      </dsp:txXfrm>
    </dsp:sp>
    <dsp:sp modelId="{58B8FD0A-4F59-4B0F-A1AC-4DFBA3C1372D}">
      <dsp:nvSpPr>
        <dsp:cNvPr id="0" name=""/>
        <dsp:cNvSpPr/>
      </dsp:nvSpPr>
      <dsp:spPr>
        <a:xfrm>
          <a:off x="4612518" y="485669"/>
          <a:ext cx="138600" cy="162136"/>
        </a:xfrm>
        <a:prstGeom prst="rightArrow">
          <a:avLst>
            <a:gd name="adj1" fmla="val 60000"/>
            <a:gd name="adj2" fmla="val 50000"/>
          </a:avLst>
        </a:prstGeom>
        <a:gradFill rotWithShape="0">
          <a:gsLst>
            <a:gs pos="0">
              <a:schemeClr val="accent5">
                <a:hueOff val="0"/>
                <a:satOff val="0"/>
                <a:lumOff val="0"/>
                <a:alphaOff val="0"/>
                <a:lumMod val="110000"/>
                <a:satMod val="105000"/>
                <a:tint val="67000"/>
              </a:schemeClr>
            </a:gs>
            <a:gs pos="50000">
              <a:schemeClr val="accent5">
                <a:hueOff val="0"/>
                <a:satOff val="0"/>
                <a:lumOff val="0"/>
                <a:alphaOff val="0"/>
                <a:lumMod val="105000"/>
                <a:satMod val="103000"/>
                <a:tint val="73000"/>
              </a:schemeClr>
            </a:gs>
            <a:gs pos="100000">
              <a:schemeClr val="accent5">
                <a:hueOff val="0"/>
                <a:satOff val="0"/>
                <a:lumOff val="0"/>
                <a:alphaOff val="0"/>
                <a:lumMod val="105000"/>
                <a:satMod val="109000"/>
                <a:tint val="81000"/>
              </a:schemeClr>
            </a:gs>
          </a:gsLst>
          <a:lin ang="5400000" scaled="0"/>
        </a:gradFill>
        <a:ln>
          <a:noFill/>
        </a:ln>
        <a:effectLst/>
      </dsp:spPr>
      <dsp:style>
        <a:lnRef idx="0">
          <a:scrgbClr r="0" g="0" b="0"/>
        </a:lnRef>
        <a:fillRef idx="2">
          <a:scrgbClr r="0" g="0" b="0"/>
        </a:fillRef>
        <a:effectRef idx="1">
          <a:scrgbClr r="0" g="0" b="0"/>
        </a:effectRef>
        <a:fontRef idx="minor">
          <a:schemeClr val="dk1"/>
        </a:fontRef>
      </dsp:style>
      <dsp:txBody>
        <a:bodyPr spcFirstLastPara="0" vert="horz" wrap="square" lIns="0" tIns="0" rIns="0" bIns="0" numCol="1" spcCol="1270" anchor="ctr" anchorCtr="0">
          <a:noAutofit/>
        </a:bodyPr>
        <a:lstStyle/>
        <a:p>
          <a:pPr marL="0" lvl="0" indent="0" algn="ctr" defTabSz="622300">
            <a:lnSpc>
              <a:spcPct val="90000"/>
            </a:lnSpc>
            <a:spcBef>
              <a:spcPct val="0"/>
            </a:spcBef>
            <a:spcAft>
              <a:spcPct val="35000"/>
            </a:spcAft>
            <a:buNone/>
          </a:pPr>
          <a:endParaRPr kumimoji="1" lang="ja-JP" altLang="en-US" sz="1400" kern="1200">
            <a:latin typeface="HGP創英角ｺﾞｼｯｸUB" panose="020B0900000000000000" pitchFamily="50" charset="-128"/>
            <a:ea typeface="HGP創英角ｺﾞｼｯｸUB" panose="020B0900000000000000" pitchFamily="50" charset="-128"/>
          </a:endParaRPr>
        </a:p>
      </dsp:txBody>
      <dsp:txXfrm>
        <a:off x="4612518" y="518096"/>
        <a:ext cx="97020" cy="97282"/>
      </dsp:txXfrm>
    </dsp:sp>
    <dsp:sp modelId="{35932EFB-7DA8-4B45-BEA8-12DE9EAD797B}">
      <dsp:nvSpPr>
        <dsp:cNvPr id="0" name=""/>
        <dsp:cNvSpPr/>
      </dsp:nvSpPr>
      <dsp:spPr>
        <a:xfrm>
          <a:off x="4808651" y="111822"/>
          <a:ext cx="939761" cy="909830"/>
        </a:xfrm>
        <a:prstGeom prst="roundRect">
          <a:avLst>
            <a:gd name="adj" fmla="val 10000"/>
          </a:avLst>
        </a:prstGeom>
        <a:solidFill>
          <a:schemeClr val="accent4">
            <a:lumMod val="40000"/>
            <a:lumOff val="60000"/>
          </a:schemeClr>
        </a:soli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53340" tIns="53340" rIns="53340" bIns="53340" numCol="1" spcCol="1270" anchor="ctr" anchorCtr="0">
          <a:noAutofit/>
        </a:bodyPr>
        <a:lstStyle/>
        <a:p>
          <a:pPr marL="0" lvl="0" indent="0" algn="ctr" defTabSz="622300">
            <a:lnSpc>
              <a:spcPct val="90000"/>
            </a:lnSpc>
            <a:spcBef>
              <a:spcPct val="0"/>
            </a:spcBef>
            <a:spcAft>
              <a:spcPct val="35000"/>
            </a:spcAft>
            <a:buNone/>
          </a:pPr>
          <a:r>
            <a:rPr kumimoji="1" lang="ja-JP" altLang="en-US" sz="1400" kern="1200" dirty="0">
              <a:latin typeface="HGP創英角ｺﾞｼｯｸUB" panose="020B0900000000000000" pitchFamily="50" charset="-128"/>
              <a:ea typeface="HGP創英角ｺﾞｼｯｸUB" panose="020B0900000000000000" pitchFamily="50" charset="-128"/>
            </a:rPr>
            <a:t>検証</a:t>
          </a:r>
        </a:p>
      </dsp:txBody>
      <dsp:txXfrm>
        <a:off x="4835299" y="138470"/>
        <a:ext cx="886465" cy="856534"/>
      </dsp:txXfrm>
    </dsp:sp>
    <dsp:sp modelId="{7DDF81E6-D780-44E1-B09C-06E19A0AE8AE}">
      <dsp:nvSpPr>
        <dsp:cNvPr id="0" name=""/>
        <dsp:cNvSpPr/>
      </dsp:nvSpPr>
      <dsp:spPr>
        <a:xfrm>
          <a:off x="5813790" y="485669"/>
          <a:ext cx="138600" cy="162136"/>
        </a:xfrm>
        <a:prstGeom prst="rightArrow">
          <a:avLst>
            <a:gd name="adj1" fmla="val 60000"/>
            <a:gd name="adj2" fmla="val 50000"/>
          </a:avLst>
        </a:prstGeom>
        <a:gradFill rotWithShape="0">
          <a:gsLst>
            <a:gs pos="0">
              <a:schemeClr val="accent6">
                <a:hueOff val="0"/>
                <a:satOff val="0"/>
                <a:lumOff val="0"/>
                <a:alphaOff val="0"/>
                <a:lumMod val="110000"/>
                <a:satMod val="105000"/>
                <a:tint val="67000"/>
              </a:schemeClr>
            </a:gs>
            <a:gs pos="50000">
              <a:schemeClr val="accent6">
                <a:hueOff val="0"/>
                <a:satOff val="0"/>
                <a:lumOff val="0"/>
                <a:alphaOff val="0"/>
                <a:lumMod val="105000"/>
                <a:satMod val="103000"/>
                <a:tint val="73000"/>
              </a:schemeClr>
            </a:gs>
            <a:gs pos="100000">
              <a:schemeClr val="accent6">
                <a:hueOff val="0"/>
                <a:satOff val="0"/>
                <a:lumOff val="0"/>
                <a:alphaOff val="0"/>
                <a:lumMod val="105000"/>
                <a:satMod val="109000"/>
                <a:tint val="81000"/>
              </a:schemeClr>
            </a:gs>
          </a:gsLst>
          <a:lin ang="5400000" scaled="0"/>
        </a:gradFill>
        <a:ln>
          <a:noFill/>
        </a:ln>
        <a:effectLst/>
      </dsp:spPr>
      <dsp:style>
        <a:lnRef idx="0">
          <a:scrgbClr r="0" g="0" b="0"/>
        </a:lnRef>
        <a:fillRef idx="2">
          <a:scrgbClr r="0" g="0" b="0"/>
        </a:fillRef>
        <a:effectRef idx="1">
          <a:scrgbClr r="0" g="0" b="0"/>
        </a:effectRef>
        <a:fontRef idx="minor">
          <a:schemeClr val="dk1"/>
        </a:fontRef>
      </dsp:style>
      <dsp:txBody>
        <a:bodyPr spcFirstLastPara="0" vert="horz" wrap="square" lIns="0" tIns="0" rIns="0" bIns="0" numCol="1" spcCol="1270" anchor="ctr" anchorCtr="0">
          <a:noAutofit/>
        </a:bodyPr>
        <a:lstStyle/>
        <a:p>
          <a:pPr marL="0" lvl="0" indent="0" algn="ctr" defTabSz="622300">
            <a:lnSpc>
              <a:spcPct val="90000"/>
            </a:lnSpc>
            <a:spcBef>
              <a:spcPct val="0"/>
            </a:spcBef>
            <a:spcAft>
              <a:spcPct val="35000"/>
            </a:spcAft>
            <a:buNone/>
          </a:pPr>
          <a:endParaRPr kumimoji="1" lang="ja-JP" altLang="en-US" sz="1400" kern="1200">
            <a:latin typeface="HGP創英角ｺﾞｼｯｸUB" panose="020B0900000000000000" pitchFamily="50" charset="-128"/>
            <a:ea typeface="HGP創英角ｺﾞｼｯｸUB" panose="020B0900000000000000" pitchFamily="50" charset="-128"/>
          </a:endParaRPr>
        </a:p>
      </dsp:txBody>
      <dsp:txXfrm>
        <a:off x="5813790" y="518096"/>
        <a:ext cx="97020" cy="97282"/>
      </dsp:txXfrm>
    </dsp:sp>
    <dsp:sp modelId="{4062AF81-232B-41F1-A7A7-8E7D19CBB2D1}">
      <dsp:nvSpPr>
        <dsp:cNvPr id="0" name=""/>
        <dsp:cNvSpPr/>
      </dsp:nvSpPr>
      <dsp:spPr>
        <a:xfrm>
          <a:off x="6009922" y="111822"/>
          <a:ext cx="939761" cy="909830"/>
        </a:xfrm>
        <a:prstGeom prst="roundRect">
          <a:avLst>
            <a:gd name="adj" fmla="val 10000"/>
          </a:avLst>
        </a:prstGeom>
        <a:solidFill>
          <a:schemeClr val="accent2">
            <a:lumMod val="40000"/>
            <a:lumOff val="60000"/>
          </a:schemeClr>
        </a:soli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53340" tIns="53340" rIns="53340" bIns="53340" numCol="1" spcCol="1270" anchor="ctr" anchorCtr="0">
          <a:noAutofit/>
        </a:bodyPr>
        <a:lstStyle/>
        <a:p>
          <a:pPr marL="0" lvl="0" indent="0" algn="ctr" defTabSz="622300">
            <a:lnSpc>
              <a:spcPct val="90000"/>
            </a:lnSpc>
            <a:spcBef>
              <a:spcPct val="0"/>
            </a:spcBef>
            <a:spcAft>
              <a:spcPct val="35000"/>
            </a:spcAft>
            <a:buNone/>
          </a:pPr>
          <a:r>
            <a:rPr kumimoji="1" lang="ja-JP" altLang="en-US" sz="1400" kern="1200" dirty="0">
              <a:latin typeface="HGP創英角ｺﾞｼｯｸUB" panose="020B0900000000000000" pitchFamily="50" charset="-128"/>
              <a:ea typeface="HGP創英角ｺﾞｼｯｸUB" panose="020B0900000000000000" pitchFamily="50" charset="-128"/>
            </a:rPr>
            <a:t>適用</a:t>
          </a:r>
        </a:p>
      </dsp:txBody>
      <dsp:txXfrm>
        <a:off x="6036570" y="138470"/>
        <a:ext cx="886465" cy="856534"/>
      </dsp:txXfrm>
    </dsp:sp>
  </dsp:spTree>
</dsp:drawing>
</file>

<file path=xl/diagrams/drawing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FFE56A2C-1CFB-44DE-AFD6-7F5E46F955E9}">
      <dsp:nvSpPr>
        <dsp:cNvPr id="0" name=""/>
        <dsp:cNvSpPr/>
      </dsp:nvSpPr>
      <dsp:spPr>
        <a:xfrm>
          <a:off x="2822" y="0"/>
          <a:ext cx="965411" cy="1007329"/>
        </a:xfrm>
        <a:prstGeom prst="roundRect">
          <a:avLst>
            <a:gd name="adj" fmla="val 10000"/>
          </a:avLst>
        </a:prstGeom>
        <a:gradFill rotWithShape="0">
          <a:gsLst>
            <a:gs pos="0">
              <a:schemeClr val="accent5">
                <a:alpha val="90000"/>
                <a:hueOff val="0"/>
                <a:satOff val="0"/>
                <a:lumOff val="0"/>
                <a:alphaOff val="0"/>
                <a:lumMod val="110000"/>
                <a:satMod val="105000"/>
                <a:tint val="67000"/>
              </a:schemeClr>
            </a:gs>
            <a:gs pos="50000">
              <a:schemeClr val="accent5">
                <a:alpha val="90000"/>
                <a:hueOff val="0"/>
                <a:satOff val="0"/>
                <a:lumOff val="0"/>
                <a:alphaOff val="0"/>
                <a:lumMod val="105000"/>
                <a:satMod val="103000"/>
                <a:tint val="73000"/>
              </a:schemeClr>
            </a:gs>
            <a:gs pos="100000">
              <a:schemeClr val="accent5">
                <a:alpha val="90000"/>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53340" tIns="53340" rIns="53340" bIns="53340" numCol="1" spcCol="1270" anchor="ctr" anchorCtr="0">
          <a:noAutofit/>
        </a:bodyPr>
        <a:lstStyle/>
        <a:p>
          <a:pPr marL="0" lvl="0" indent="0" algn="ctr" defTabSz="622300">
            <a:lnSpc>
              <a:spcPct val="90000"/>
            </a:lnSpc>
            <a:spcBef>
              <a:spcPct val="0"/>
            </a:spcBef>
            <a:spcAft>
              <a:spcPct val="35000"/>
            </a:spcAft>
            <a:buNone/>
          </a:pPr>
          <a:r>
            <a:rPr lang="ja-JP" altLang="en-US" sz="1400" b="0" kern="1200" dirty="0">
              <a:latin typeface="HG創英角ｺﾞｼｯｸUB" panose="020B0909000000000000" pitchFamily="49" charset="-128"/>
              <a:ea typeface="HG創英角ｺﾞｼｯｸUB" panose="020B0909000000000000" pitchFamily="49" charset="-128"/>
            </a:rPr>
            <a:t>対象ソフトウェアの把握</a:t>
          </a:r>
        </a:p>
      </dsp:txBody>
      <dsp:txXfrm>
        <a:off x="31098" y="28276"/>
        <a:ext cx="908859" cy="950777"/>
      </dsp:txXfrm>
    </dsp:sp>
    <dsp:sp modelId="{1F5010DA-2883-4CF4-BE0B-CA3FAB5F1ED9}">
      <dsp:nvSpPr>
        <dsp:cNvPr id="0" name=""/>
        <dsp:cNvSpPr/>
      </dsp:nvSpPr>
      <dsp:spPr>
        <a:xfrm>
          <a:off x="999562" y="455217"/>
          <a:ext cx="98312" cy="96893"/>
        </a:xfrm>
        <a:prstGeom prst="rightArrow">
          <a:avLst>
            <a:gd name="adj1" fmla="val 60000"/>
            <a:gd name="adj2" fmla="val 50000"/>
          </a:avLst>
        </a:prstGeom>
        <a:gradFill rotWithShape="0">
          <a:gsLst>
            <a:gs pos="0">
              <a:schemeClr val="accent5">
                <a:shade val="90000"/>
                <a:hueOff val="0"/>
                <a:satOff val="0"/>
                <a:lumOff val="0"/>
                <a:alphaOff val="0"/>
                <a:lumMod val="110000"/>
                <a:satMod val="105000"/>
                <a:tint val="67000"/>
              </a:schemeClr>
            </a:gs>
            <a:gs pos="50000">
              <a:schemeClr val="accent5">
                <a:shade val="90000"/>
                <a:hueOff val="0"/>
                <a:satOff val="0"/>
                <a:lumOff val="0"/>
                <a:alphaOff val="0"/>
                <a:lumMod val="105000"/>
                <a:satMod val="103000"/>
                <a:tint val="73000"/>
              </a:schemeClr>
            </a:gs>
            <a:gs pos="100000">
              <a:schemeClr val="accent5">
                <a:shade val="90000"/>
                <a:hueOff val="0"/>
                <a:satOff val="0"/>
                <a:lumOff val="0"/>
                <a:alphaOff val="0"/>
                <a:lumMod val="105000"/>
                <a:satMod val="109000"/>
                <a:tint val="81000"/>
              </a:schemeClr>
            </a:gs>
          </a:gsLst>
          <a:lin ang="5400000" scaled="0"/>
        </a:gradFill>
        <a:ln>
          <a:noFill/>
        </a:ln>
        <a:effectLst/>
      </dsp:spPr>
      <dsp:style>
        <a:lnRef idx="0">
          <a:scrgbClr r="0" g="0" b="0"/>
        </a:lnRef>
        <a:fillRef idx="2">
          <a:scrgbClr r="0" g="0" b="0"/>
        </a:fillRef>
        <a:effectRef idx="1">
          <a:scrgbClr r="0" g="0" b="0"/>
        </a:effectRef>
        <a:fontRef idx="minor">
          <a:schemeClr val="dk1"/>
        </a:fontRef>
      </dsp:style>
      <dsp:txBody>
        <a:bodyPr spcFirstLastPara="0" vert="horz" wrap="square" lIns="0" tIns="0" rIns="0" bIns="0" numCol="1" spcCol="1270" anchor="ctr" anchorCtr="0">
          <a:noAutofit/>
        </a:bodyPr>
        <a:lstStyle/>
        <a:p>
          <a:pPr marL="0" lvl="0" indent="0" algn="ctr" defTabSz="622300">
            <a:lnSpc>
              <a:spcPct val="90000"/>
            </a:lnSpc>
            <a:spcBef>
              <a:spcPct val="0"/>
            </a:spcBef>
            <a:spcAft>
              <a:spcPct val="35000"/>
            </a:spcAft>
            <a:buNone/>
          </a:pPr>
          <a:endParaRPr lang="ja-JP" altLang="en-US" sz="1400" b="0" kern="1200">
            <a:solidFill>
              <a:sysClr val="windowText" lastClr="000000"/>
            </a:solidFill>
            <a:latin typeface="HG創英角ｺﾞｼｯｸUB" panose="020B0909000000000000" pitchFamily="49" charset="-128"/>
            <a:ea typeface="HG創英角ｺﾞｼｯｸUB" panose="020B0909000000000000" pitchFamily="49" charset="-128"/>
          </a:endParaRPr>
        </a:p>
      </dsp:txBody>
      <dsp:txXfrm>
        <a:off x="999562" y="474596"/>
        <a:ext cx="69244" cy="58135"/>
      </dsp:txXfrm>
    </dsp:sp>
    <dsp:sp modelId="{D60BB7DE-D7A3-497B-A448-86D0FB31F613}">
      <dsp:nvSpPr>
        <dsp:cNvPr id="0" name=""/>
        <dsp:cNvSpPr/>
      </dsp:nvSpPr>
      <dsp:spPr>
        <a:xfrm>
          <a:off x="1124514" y="0"/>
          <a:ext cx="965411" cy="1007329"/>
        </a:xfrm>
        <a:prstGeom prst="roundRect">
          <a:avLst>
            <a:gd name="adj" fmla="val 10000"/>
          </a:avLst>
        </a:prstGeom>
        <a:gradFill rotWithShape="0">
          <a:gsLst>
            <a:gs pos="0">
              <a:schemeClr val="accent5">
                <a:alpha val="90000"/>
                <a:hueOff val="0"/>
                <a:satOff val="0"/>
                <a:lumOff val="0"/>
                <a:alphaOff val="-10000"/>
                <a:lumMod val="110000"/>
                <a:satMod val="105000"/>
                <a:tint val="67000"/>
              </a:schemeClr>
            </a:gs>
            <a:gs pos="50000">
              <a:schemeClr val="accent5">
                <a:alpha val="90000"/>
                <a:hueOff val="0"/>
                <a:satOff val="0"/>
                <a:lumOff val="0"/>
                <a:alphaOff val="-10000"/>
                <a:lumMod val="105000"/>
                <a:satMod val="103000"/>
                <a:tint val="73000"/>
              </a:schemeClr>
            </a:gs>
            <a:gs pos="100000">
              <a:schemeClr val="accent5">
                <a:alpha val="90000"/>
                <a:hueOff val="0"/>
                <a:satOff val="0"/>
                <a:lumOff val="0"/>
                <a:alphaOff val="-1000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53340" tIns="53340" rIns="53340" bIns="53340" numCol="1" spcCol="1270" anchor="ctr" anchorCtr="0">
          <a:noAutofit/>
        </a:bodyPr>
        <a:lstStyle/>
        <a:p>
          <a:pPr marL="0" lvl="0" indent="0" algn="ctr" defTabSz="622300">
            <a:lnSpc>
              <a:spcPct val="90000"/>
            </a:lnSpc>
            <a:spcBef>
              <a:spcPct val="0"/>
            </a:spcBef>
            <a:spcAft>
              <a:spcPct val="35000"/>
            </a:spcAft>
            <a:buNone/>
          </a:pPr>
          <a:r>
            <a:rPr lang="ja-JP" altLang="en-US" sz="1400" b="0" kern="1200" dirty="0">
              <a:latin typeface="HG創英角ｺﾞｼｯｸUB" panose="020B0909000000000000" pitchFamily="49" charset="-128"/>
              <a:ea typeface="HG創英角ｺﾞｼｯｸUB" panose="020B0909000000000000" pitchFamily="49" charset="-128"/>
            </a:rPr>
            <a:t>バージョン情報の調査</a:t>
          </a:r>
        </a:p>
      </dsp:txBody>
      <dsp:txXfrm>
        <a:off x="1152790" y="28276"/>
        <a:ext cx="908859" cy="950777"/>
      </dsp:txXfrm>
    </dsp:sp>
    <dsp:sp modelId="{1DF7FD5E-885D-4264-A113-16A13D9C1F69}">
      <dsp:nvSpPr>
        <dsp:cNvPr id="0" name=""/>
        <dsp:cNvSpPr/>
      </dsp:nvSpPr>
      <dsp:spPr>
        <a:xfrm>
          <a:off x="2121254" y="455217"/>
          <a:ext cx="98312" cy="96893"/>
        </a:xfrm>
        <a:prstGeom prst="rightArrow">
          <a:avLst>
            <a:gd name="adj1" fmla="val 60000"/>
            <a:gd name="adj2" fmla="val 50000"/>
          </a:avLst>
        </a:prstGeom>
        <a:gradFill rotWithShape="0">
          <a:gsLst>
            <a:gs pos="0">
              <a:schemeClr val="accent5">
                <a:shade val="90000"/>
                <a:hueOff val="116972"/>
                <a:satOff val="-1072"/>
                <a:lumOff val="9251"/>
                <a:alphaOff val="0"/>
                <a:lumMod val="110000"/>
                <a:satMod val="105000"/>
                <a:tint val="67000"/>
              </a:schemeClr>
            </a:gs>
            <a:gs pos="50000">
              <a:schemeClr val="accent5">
                <a:shade val="90000"/>
                <a:hueOff val="116972"/>
                <a:satOff val="-1072"/>
                <a:lumOff val="9251"/>
                <a:alphaOff val="0"/>
                <a:lumMod val="105000"/>
                <a:satMod val="103000"/>
                <a:tint val="73000"/>
              </a:schemeClr>
            </a:gs>
            <a:gs pos="100000">
              <a:schemeClr val="accent5">
                <a:shade val="90000"/>
                <a:hueOff val="116972"/>
                <a:satOff val="-1072"/>
                <a:lumOff val="9251"/>
                <a:alphaOff val="0"/>
                <a:lumMod val="105000"/>
                <a:satMod val="109000"/>
                <a:tint val="81000"/>
              </a:schemeClr>
            </a:gs>
          </a:gsLst>
          <a:lin ang="5400000" scaled="0"/>
        </a:gradFill>
        <a:ln>
          <a:noFill/>
        </a:ln>
        <a:effectLst/>
      </dsp:spPr>
      <dsp:style>
        <a:lnRef idx="0">
          <a:scrgbClr r="0" g="0" b="0"/>
        </a:lnRef>
        <a:fillRef idx="2">
          <a:scrgbClr r="0" g="0" b="0"/>
        </a:fillRef>
        <a:effectRef idx="1">
          <a:scrgbClr r="0" g="0" b="0"/>
        </a:effectRef>
        <a:fontRef idx="minor">
          <a:schemeClr val="dk1"/>
        </a:fontRef>
      </dsp:style>
      <dsp:txBody>
        <a:bodyPr spcFirstLastPara="0" vert="horz" wrap="square" lIns="0" tIns="0" rIns="0" bIns="0" numCol="1" spcCol="1270" anchor="ctr" anchorCtr="0">
          <a:noAutofit/>
        </a:bodyPr>
        <a:lstStyle/>
        <a:p>
          <a:pPr marL="0" lvl="0" indent="0" algn="ctr" defTabSz="622300">
            <a:lnSpc>
              <a:spcPct val="90000"/>
            </a:lnSpc>
            <a:spcBef>
              <a:spcPct val="0"/>
            </a:spcBef>
            <a:spcAft>
              <a:spcPct val="35000"/>
            </a:spcAft>
            <a:buNone/>
          </a:pPr>
          <a:endParaRPr lang="ja-JP" altLang="en-US" sz="1400" b="0" kern="1200">
            <a:solidFill>
              <a:sysClr val="windowText" lastClr="000000"/>
            </a:solidFill>
            <a:latin typeface="HG創英角ｺﾞｼｯｸUB" panose="020B0909000000000000" pitchFamily="49" charset="-128"/>
            <a:ea typeface="HG創英角ｺﾞｼｯｸUB" panose="020B0909000000000000" pitchFamily="49" charset="-128"/>
          </a:endParaRPr>
        </a:p>
      </dsp:txBody>
      <dsp:txXfrm>
        <a:off x="2121254" y="474596"/>
        <a:ext cx="69244" cy="58135"/>
      </dsp:txXfrm>
    </dsp:sp>
    <dsp:sp modelId="{B1DB730F-C2EF-4E1D-A8C9-481847451E04}">
      <dsp:nvSpPr>
        <dsp:cNvPr id="0" name=""/>
        <dsp:cNvSpPr/>
      </dsp:nvSpPr>
      <dsp:spPr>
        <a:xfrm>
          <a:off x="2246206" y="0"/>
          <a:ext cx="965411" cy="1007329"/>
        </a:xfrm>
        <a:prstGeom prst="roundRect">
          <a:avLst>
            <a:gd name="adj" fmla="val 10000"/>
          </a:avLst>
        </a:prstGeom>
        <a:gradFill rotWithShape="0">
          <a:gsLst>
            <a:gs pos="0">
              <a:schemeClr val="accent5">
                <a:alpha val="90000"/>
                <a:hueOff val="0"/>
                <a:satOff val="0"/>
                <a:lumOff val="0"/>
                <a:alphaOff val="-20000"/>
                <a:lumMod val="110000"/>
                <a:satMod val="105000"/>
                <a:tint val="67000"/>
              </a:schemeClr>
            </a:gs>
            <a:gs pos="50000">
              <a:schemeClr val="accent5">
                <a:alpha val="90000"/>
                <a:hueOff val="0"/>
                <a:satOff val="0"/>
                <a:lumOff val="0"/>
                <a:alphaOff val="-20000"/>
                <a:lumMod val="105000"/>
                <a:satMod val="103000"/>
                <a:tint val="73000"/>
              </a:schemeClr>
            </a:gs>
            <a:gs pos="100000">
              <a:schemeClr val="accent5">
                <a:alpha val="90000"/>
                <a:hueOff val="0"/>
                <a:satOff val="0"/>
                <a:lumOff val="0"/>
                <a:alphaOff val="-2000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53340" tIns="53340" rIns="53340" bIns="53340" numCol="1" spcCol="1270" anchor="ctr" anchorCtr="0">
          <a:noAutofit/>
        </a:bodyPr>
        <a:lstStyle/>
        <a:p>
          <a:pPr marL="0" lvl="0" indent="0" algn="ctr" defTabSz="622300">
            <a:lnSpc>
              <a:spcPct val="90000"/>
            </a:lnSpc>
            <a:spcBef>
              <a:spcPct val="0"/>
            </a:spcBef>
            <a:spcAft>
              <a:spcPct val="35000"/>
            </a:spcAft>
            <a:buNone/>
          </a:pPr>
          <a:r>
            <a:rPr lang="ja-JP" altLang="en-US" sz="1400" b="0" kern="1200" dirty="0">
              <a:latin typeface="HG創英角ｺﾞｼｯｸUB" panose="020B0909000000000000" pitchFamily="49" charset="-128"/>
              <a:ea typeface="HG創英角ｺﾞｼｯｸUB" panose="020B0909000000000000" pitchFamily="49" charset="-128"/>
            </a:rPr>
            <a:t>製品ベンダサイト等の調査</a:t>
          </a:r>
          <a:endParaRPr lang="en-US" altLang="ja-JP" sz="1400" b="0" kern="1200" dirty="0">
            <a:latin typeface="HG創英角ｺﾞｼｯｸUB" panose="020B0909000000000000" pitchFamily="49" charset="-128"/>
            <a:ea typeface="HG創英角ｺﾞｼｯｸUB" panose="020B0909000000000000" pitchFamily="49" charset="-128"/>
          </a:endParaRPr>
        </a:p>
      </dsp:txBody>
      <dsp:txXfrm>
        <a:off x="2274482" y="28276"/>
        <a:ext cx="908859" cy="950777"/>
      </dsp:txXfrm>
    </dsp:sp>
    <dsp:sp modelId="{1D841FB9-5B53-4BA4-8262-68F853D920CD}">
      <dsp:nvSpPr>
        <dsp:cNvPr id="0" name=""/>
        <dsp:cNvSpPr/>
      </dsp:nvSpPr>
      <dsp:spPr>
        <a:xfrm>
          <a:off x="3242945" y="455217"/>
          <a:ext cx="98312" cy="96893"/>
        </a:xfrm>
        <a:prstGeom prst="rightArrow">
          <a:avLst>
            <a:gd name="adj1" fmla="val 60000"/>
            <a:gd name="adj2" fmla="val 50000"/>
          </a:avLst>
        </a:prstGeom>
        <a:gradFill rotWithShape="0">
          <a:gsLst>
            <a:gs pos="0">
              <a:schemeClr val="accent5">
                <a:shade val="90000"/>
                <a:hueOff val="233943"/>
                <a:satOff val="-2143"/>
                <a:lumOff val="18503"/>
                <a:alphaOff val="0"/>
                <a:lumMod val="110000"/>
                <a:satMod val="105000"/>
                <a:tint val="67000"/>
              </a:schemeClr>
            </a:gs>
            <a:gs pos="50000">
              <a:schemeClr val="accent5">
                <a:shade val="90000"/>
                <a:hueOff val="233943"/>
                <a:satOff val="-2143"/>
                <a:lumOff val="18503"/>
                <a:alphaOff val="0"/>
                <a:lumMod val="105000"/>
                <a:satMod val="103000"/>
                <a:tint val="73000"/>
              </a:schemeClr>
            </a:gs>
            <a:gs pos="100000">
              <a:schemeClr val="accent5">
                <a:shade val="90000"/>
                <a:hueOff val="233943"/>
                <a:satOff val="-2143"/>
                <a:lumOff val="18503"/>
                <a:alphaOff val="0"/>
                <a:lumMod val="105000"/>
                <a:satMod val="109000"/>
                <a:tint val="81000"/>
              </a:schemeClr>
            </a:gs>
          </a:gsLst>
          <a:lin ang="5400000" scaled="0"/>
        </a:gradFill>
        <a:ln>
          <a:noFill/>
        </a:ln>
        <a:effectLst/>
      </dsp:spPr>
      <dsp:style>
        <a:lnRef idx="0">
          <a:scrgbClr r="0" g="0" b="0"/>
        </a:lnRef>
        <a:fillRef idx="2">
          <a:scrgbClr r="0" g="0" b="0"/>
        </a:fillRef>
        <a:effectRef idx="1">
          <a:scrgbClr r="0" g="0" b="0"/>
        </a:effectRef>
        <a:fontRef idx="minor">
          <a:schemeClr val="dk1"/>
        </a:fontRef>
      </dsp:style>
      <dsp:txBody>
        <a:bodyPr spcFirstLastPara="0" vert="horz" wrap="square" lIns="0" tIns="0" rIns="0" bIns="0" numCol="1" spcCol="1270" anchor="ctr" anchorCtr="0">
          <a:noAutofit/>
        </a:bodyPr>
        <a:lstStyle/>
        <a:p>
          <a:pPr marL="0" lvl="0" indent="0" algn="ctr" defTabSz="622300">
            <a:lnSpc>
              <a:spcPct val="90000"/>
            </a:lnSpc>
            <a:spcBef>
              <a:spcPct val="0"/>
            </a:spcBef>
            <a:spcAft>
              <a:spcPct val="35000"/>
            </a:spcAft>
            <a:buNone/>
          </a:pPr>
          <a:endParaRPr lang="ja-JP" altLang="en-US" sz="1400" b="0" kern="1200">
            <a:solidFill>
              <a:sysClr val="windowText" lastClr="000000"/>
            </a:solidFill>
            <a:latin typeface="HG創英角ｺﾞｼｯｸUB" panose="020B0909000000000000" pitchFamily="49" charset="-128"/>
            <a:ea typeface="HG創英角ｺﾞｼｯｸUB" panose="020B0909000000000000" pitchFamily="49" charset="-128"/>
          </a:endParaRPr>
        </a:p>
      </dsp:txBody>
      <dsp:txXfrm>
        <a:off x="3242945" y="474596"/>
        <a:ext cx="69244" cy="58135"/>
      </dsp:txXfrm>
    </dsp:sp>
    <dsp:sp modelId="{7814E94C-C458-45E3-B427-E1AC3370AB03}">
      <dsp:nvSpPr>
        <dsp:cNvPr id="0" name=""/>
        <dsp:cNvSpPr/>
      </dsp:nvSpPr>
      <dsp:spPr>
        <a:xfrm>
          <a:off x="3367897" y="0"/>
          <a:ext cx="965411" cy="1007328"/>
        </a:xfrm>
        <a:prstGeom prst="roundRect">
          <a:avLst>
            <a:gd name="adj" fmla="val 10000"/>
          </a:avLst>
        </a:prstGeom>
        <a:gradFill rotWithShape="0">
          <a:gsLst>
            <a:gs pos="0">
              <a:schemeClr val="accent5">
                <a:alpha val="90000"/>
                <a:hueOff val="0"/>
                <a:satOff val="0"/>
                <a:lumOff val="0"/>
                <a:alphaOff val="-30000"/>
                <a:lumMod val="110000"/>
                <a:satMod val="105000"/>
                <a:tint val="67000"/>
              </a:schemeClr>
            </a:gs>
            <a:gs pos="50000">
              <a:schemeClr val="accent5">
                <a:alpha val="90000"/>
                <a:hueOff val="0"/>
                <a:satOff val="0"/>
                <a:lumOff val="0"/>
                <a:alphaOff val="-30000"/>
                <a:lumMod val="105000"/>
                <a:satMod val="103000"/>
                <a:tint val="73000"/>
              </a:schemeClr>
            </a:gs>
            <a:gs pos="100000">
              <a:schemeClr val="accent5">
                <a:alpha val="90000"/>
                <a:hueOff val="0"/>
                <a:satOff val="0"/>
                <a:lumOff val="0"/>
                <a:alphaOff val="-3000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53340" tIns="53340" rIns="53340" bIns="53340" numCol="1" spcCol="1270" anchor="ctr" anchorCtr="0">
          <a:noAutofit/>
        </a:bodyPr>
        <a:lstStyle/>
        <a:p>
          <a:pPr marL="0" lvl="0" indent="0" algn="ctr" defTabSz="622300">
            <a:lnSpc>
              <a:spcPct val="90000"/>
            </a:lnSpc>
            <a:spcBef>
              <a:spcPct val="0"/>
            </a:spcBef>
            <a:spcAft>
              <a:spcPct val="35000"/>
            </a:spcAft>
            <a:buNone/>
          </a:pPr>
          <a:r>
            <a:rPr lang="ja-JP" altLang="en-US" sz="1400" b="0" kern="1200" dirty="0">
              <a:latin typeface="HG創英角ｺﾞｼｯｸUB" panose="020B0909000000000000" pitchFamily="49" charset="-128"/>
              <a:ea typeface="HG創英角ｺﾞｼｯｸUB" panose="020B0909000000000000" pitchFamily="49" charset="-128"/>
            </a:rPr>
            <a:t>情報収集先の選定</a:t>
          </a:r>
        </a:p>
      </dsp:txBody>
      <dsp:txXfrm>
        <a:off x="3396173" y="28276"/>
        <a:ext cx="908859" cy="950776"/>
      </dsp:txXfrm>
    </dsp:sp>
    <dsp:sp modelId="{357ECF90-5AF5-4D3E-A316-EB0EF00F8B92}">
      <dsp:nvSpPr>
        <dsp:cNvPr id="0" name=""/>
        <dsp:cNvSpPr/>
      </dsp:nvSpPr>
      <dsp:spPr>
        <a:xfrm>
          <a:off x="4364637" y="455217"/>
          <a:ext cx="98312" cy="96893"/>
        </a:xfrm>
        <a:prstGeom prst="rightArrow">
          <a:avLst>
            <a:gd name="adj1" fmla="val 60000"/>
            <a:gd name="adj2" fmla="val 50000"/>
          </a:avLst>
        </a:prstGeom>
        <a:gradFill rotWithShape="0">
          <a:gsLst>
            <a:gs pos="0">
              <a:schemeClr val="accent5">
                <a:shade val="90000"/>
                <a:hueOff val="350915"/>
                <a:satOff val="-3215"/>
                <a:lumOff val="27754"/>
                <a:alphaOff val="0"/>
                <a:lumMod val="110000"/>
                <a:satMod val="105000"/>
                <a:tint val="67000"/>
              </a:schemeClr>
            </a:gs>
            <a:gs pos="50000">
              <a:schemeClr val="accent5">
                <a:shade val="90000"/>
                <a:hueOff val="350915"/>
                <a:satOff val="-3215"/>
                <a:lumOff val="27754"/>
                <a:alphaOff val="0"/>
                <a:lumMod val="105000"/>
                <a:satMod val="103000"/>
                <a:tint val="73000"/>
              </a:schemeClr>
            </a:gs>
            <a:gs pos="100000">
              <a:schemeClr val="accent5">
                <a:shade val="90000"/>
                <a:hueOff val="350915"/>
                <a:satOff val="-3215"/>
                <a:lumOff val="27754"/>
                <a:alphaOff val="0"/>
                <a:lumMod val="105000"/>
                <a:satMod val="109000"/>
                <a:tint val="81000"/>
              </a:schemeClr>
            </a:gs>
          </a:gsLst>
          <a:lin ang="5400000" scaled="0"/>
        </a:gradFill>
        <a:ln>
          <a:noFill/>
        </a:ln>
        <a:effectLst/>
      </dsp:spPr>
      <dsp:style>
        <a:lnRef idx="0">
          <a:scrgbClr r="0" g="0" b="0"/>
        </a:lnRef>
        <a:fillRef idx="2">
          <a:scrgbClr r="0" g="0" b="0"/>
        </a:fillRef>
        <a:effectRef idx="1">
          <a:scrgbClr r="0" g="0" b="0"/>
        </a:effectRef>
        <a:fontRef idx="minor">
          <a:schemeClr val="dk1"/>
        </a:fontRef>
      </dsp:style>
      <dsp:txBody>
        <a:bodyPr spcFirstLastPara="0" vert="horz" wrap="square" lIns="0" tIns="0" rIns="0" bIns="0" numCol="1" spcCol="1270" anchor="ctr" anchorCtr="0">
          <a:noAutofit/>
        </a:bodyPr>
        <a:lstStyle/>
        <a:p>
          <a:pPr marL="0" lvl="0" indent="0" algn="ctr" defTabSz="622300">
            <a:lnSpc>
              <a:spcPct val="90000"/>
            </a:lnSpc>
            <a:spcBef>
              <a:spcPct val="0"/>
            </a:spcBef>
            <a:spcAft>
              <a:spcPct val="35000"/>
            </a:spcAft>
            <a:buNone/>
          </a:pPr>
          <a:endParaRPr lang="ja-JP" altLang="en-US" sz="1400" b="0" kern="1200">
            <a:solidFill>
              <a:sysClr val="windowText" lastClr="000000"/>
            </a:solidFill>
            <a:latin typeface="HG創英角ｺﾞｼｯｸUB" panose="020B0909000000000000" pitchFamily="49" charset="-128"/>
            <a:ea typeface="HG創英角ｺﾞｼｯｸUB" panose="020B0909000000000000" pitchFamily="49" charset="-128"/>
          </a:endParaRPr>
        </a:p>
      </dsp:txBody>
      <dsp:txXfrm>
        <a:off x="4364637" y="474596"/>
        <a:ext cx="69244" cy="58135"/>
      </dsp:txXfrm>
    </dsp:sp>
    <dsp:sp modelId="{208AC97D-4FDC-474E-9847-CAFE35F4B79E}">
      <dsp:nvSpPr>
        <dsp:cNvPr id="0" name=""/>
        <dsp:cNvSpPr/>
      </dsp:nvSpPr>
      <dsp:spPr>
        <a:xfrm>
          <a:off x="4489589" y="0"/>
          <a:ext cx="965411" cy="1007328"/>
        </a:xfrm>
        <a:prstGeom prst="roundRect">
          <a:avLst>
            <a:gd name="adj" fmla="val 10000"/>
          </a:avLst>
        </a:prstGeom>
        <a:gradFill rotWithShape="0">
          <a:gsLst>
            <a:gs pos="0">
              <a:schemeClr val="accent5">
                <a:alpha val="90000"/>
                <a:hueOff val="0"/>
                <a:satOff val="0"/>
                <a:lumOff val="0"/>
                <a:alphaOff val="-40000"/>
                <a:lumMod val="110000"/>
                <a:satMod val="105000"/>
                <a:tint val="67000"/>
              </a:schemeClr>
            </a:gs>
            <a:gs pos="50000">
              <a:schemeClr val="accent5">
                <a:alpha val="90000"/>
                <a:hueOff val="0"/>
                <a:satOff val="0"/>
                <a:lumOff val="0"/>
                <a:alphaOff val="-40000"/>
                <a:lumMod val="105000"/>
                <a:satMod val="103000"/>
                <a:tint val="73000"/>
              </a:schemeClr>
            </a:gs>
            <a:gs pos="100000">
              <a:schemeClr val="accent5">
                <a:alpha val="90000"/>
                <a:hueOff val="0"/>
                <a:satOff val="0"/>
                <a:lumOff val="0"/>
                <a:alphaOff val="-4000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53340" tIns="53340" rIns="53340" bIns="53340" numCol="1" spcCol="1270" anchor="ctr" anchorCtr="0">
          <a:noAutofit/>
        </a:bodyPr>
        <a:lstStyle/>
        <a:p>
          <a:pPr marL="0" lvl="0" indent="0" algn="ctr" defTabSz="622300">
            <a:lnSpc>
              <a:spcPct val="90000"/>
            </a:lnSpc>
            <a:spcBef>
              <a:spcPct val="0"/>
            </a:spcBef>
            <a:spcAft>
              <a:spcPct val="35000"/>
            </a:spcAft>
            <a:buNone/>
          </a:pPr>
          <a:r>
            <a:rPr lang="ja-JP" altLang="en-US" sz="1400" b="0" kern="1200" dirty="0">
              <a:latin typeface="HG創英角ｺﾞｼｯｸUB" panose="020B0909000000000000" pitchFamily="49" charset="-128"/>
              <a:ea typeface="HG創英角ｺﾞｼｯｸUB" panose="020B0909000000000000" pitchFamily="49" charset="-128"/>
            </a:rPr>
            <a:t>対応方針の設定</a:t>
          </a:r>
        </a:p>
      </dsp:txBody>
      <dsp:txXfrm>
        <a:off x="4517865" y="28276"/>
        <a:ext cx="908859" cy="950776"/>
      </dsp:txXfrm>
    </dsp:sp>
  </dsp:spTree>
</dsp:drawing>
</file>

<file path=xl/diagrams/drawing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FFE56A2C-1CFB-44DE-AFD6-7F5E46F955E9}">
      <dsp:nvSpPr>
        <dsp:cNvPr id="0" name=""/>
        <dsp:cNvSpPr/>
      </dsp:nvSpPr>
      <dsp:spPr>
        <a:xfrm flipH="1">
          <a:off x="6518" y="0"/>
          <a:ext cx="943171" cy="1011608"/>
        </a:xfrm>
        <a:prstGeom prst="roundRect">
          <a:avLst>
            <a:gd name="adj" fmla="val 10000"/>
          </a:avLst>
        </a:prstGeom>
        <a:gradFill rotWithShape="0">
          <a:gsLst>
            <a:gs pos="0">
              <a:schemeClr val="accent6">
                <a:alpha val="90000"/>
                <a:hueOff val="0"/>
                <a:satOff val="0"/>
                <a:lumOff val="0"/>
                <a:alphaOff val="0"/>
                <a:lumMod val="110000"/>
                <a:satMod val="105000"/>
                <a:tint val="67000"/>
              </a:schemeClr>
            </a:gs>
            <a:gs pos="50000">
              <a:schemeClr val="accent6">
                <a:alpha val="90000"/>
                <a:hueOff val="0"/>
                <a:satOff val="0"/>
                <a:lumOff val="0"/>
                <a:alphaOff val="0"/>
                <a:lumMod val="105000"/>
                <a:satMod val="103000"/>
                <a:tint val="73000"/>
              </a:schemeClr>
            </a:gs>
            <a:gs pos="100000">
              <a:schemeClr val="accent6">
                <a:alpha val="90000"/>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53340" tIns="53340" rIns="53340" bIns="53340" numCol="1" spcCol="1270" anchor="ctr" anchorCtr="0">
          <a:noAutofit/>
        </a:bodyPr>
        <a:lstStyle/>
        <a:p>
          <a:pPr marL="0" lvl="0" indent="0" algn="ctr" defTabSz="622300">
            <a:lnSpc>
              <a:spcPct val="90000"/>
            </a:lnSpc>
            <a:spcBef>
              <a:spcPct val="0"/>
            </a:spcBef>
            <a:spcAft>
              <a:spcPct val="35000"/>
            </a:spcAft>
            <a:buNone/>
          </a:pPr>
          <a:r>
            <a:rPr lang="ja-JP" altLang="en-US" sz="1400" b="0" kern="1200" dirty="0">
              <a:latin typeface="HG創英角ｺﾞｼｯｸUB" panose="020B0909000000000000" pitchFamily="49" charset="-128"/>
              <a:ea typeface="HG創英角ｺﾞｼｯｸUB" panose="020B0909000000000000" pitchFamily="49" charset="-128"/>
            </a:rPr>
            <a:t>対象ソフトウェアの再確認</a:t>
          </a:r>
        </a:p>
      </dsp:txBody>
      <dsp:txXfrm>
        <a:off x="34143" y="27625"/>
        <a:ext cx="887921" cy="956358"/>
      </dsp:txXfrm>
    </dsp:sp>
    <dsp:sp modelId="{1F5010DA-2883-4CF4-BE0B-CA3FAB5F1ED9}">
      <dsp:nvSpPr>
        <dsp:cNvPr id="0" name=""/>
        <dsp:cNvSpPr/>
      </dsp:nvSpPr>
      <dsp:spPr>
        <a:xfrm>
          <a:off x="986932" y="448211"/>
          <a:ext cx="116871" cy="115184"/>
        </a:xfrm>
        <a:prstGeom prst="rightArrow">
          <a:avLst>
            <a:gd name="adj1" fmla="val 60000"/>
            <a:gd name="adj2" fmla="val 50000"/>
          </a:avLst>
        </a:prstGeom>
        <a:gradFill rotWithShape="0">
          <a:gsLst>
            <a:gs pos="0">
              <a:schemeClr val="accent6">
                <a:shade val="90000"/>
                <a:hueOff val="0"/>
                <a:satOff val="0"/>
                <a:lumOff val="0"/>
                <a:alphaOff val="0"/>
                <a:lumMod val="110000"/>
                <a:satMod val="105000"/>
                <a:tint val="67000"/>
              </a:schemeClr>
            </a:gs>
            <a:gs pos="50000">
              <a:schemeClr val="accent6">
                <a:shade val="90000"/>
                <a:hueOff val="0"/>
                <a:satOff val="0"/>
                <a:lumOff val="0"/>
                <a:alphaOff val="0"/>
                <a:lumMod val="105000"/>
                <a:satMod val="103000"/>
                <a:tint val="73000"/>
              </a:schemeClr>
            </a:gs>
            <a:gs pos="100000">
              <a:schemeClr val="accent6">
                <a:shade val="90000"/>
                <a:hueOff val="0"/>
                <a:satOff val="0"/>
                <a:lumOff val="0"/>
                <a:alphaOff val="0"/>
                <a:lumMod val="105000"/>
                <a:satMod val="109000"/>
                <a:tint val="81000"/>
              </a:schemeClr>
            </a:gs>
          </a:gsLst>
          <a:lin ang="5400000" scaled="0"/>
        </a:gradFill>
        <a:ln>
          <a:noFill/>
        </a:ln>
        <a:effectLst/>
      </dsp:spPr>
      <dsp:style>
        <a:lnRef idx="0">
          <a:scrgbClr r="0" g="0" b="0"/>
        </a:lnRef>
        <a:fillRef idx="2">
          <a:scrgbClr r="0" g="0" b="0"/>
        </a:fillRef>
        <a:effectRef idx="1">
          <a:scrgbClr r="0" g="0" b="0"/>
        </a:effectRef>
        <a:fontRef idx="minor">
          <a:schemeClr val="dk1"/>
        </a:fontRef>
      </dsp:style>
      <dsp:txBody>
        <a:bodyPr spcFirstLastPara="0" vert="horz" wrap="square" lIns="0" tIns="0" rIns="0" bIns="0" numCol="1" spcCol="1270" anchor="ctr" anchorCtr="0">
          <a:noAutofit/>
        </a:bodyPr>
        <a:lstStyle/>
        <a:p>
          <a:pPr marL="0" lvl="0" indent="0" algn="ctr" defTabSz="622300">
            <a:lnSpc>
              <a:spcPct val="90000"/>
            </a:lnSpc>
            <a:spcBef>
              <a:spcPct val="0"/>
            </a:spcBef>
            <a:spcAft>
              <a:spcPct val="35000"/>
            </a:spcAft>
            <a:buNone/>
          </a:pPr>
          <a:endParaRPr lang="ja-JP" altLang="en-US" sz="1400" b="0" kern="1200">
            <a:solidFill>
              <a:sysClr val="windowText" lastClr="000000"/>
            </a:solidFill>
            <a:latin typeface="HG創英角ｺﾞｼｯｸUB" panose="020B0909000000000000" pitchFamily="49" charset="-128"/>
            <a:ea typeface="HG創英角ｺﾞｼｯｸUB" panose="020B0909000000000000" pitchFamily="49" charset="-128"/>
          </a:endParaRPr>
        </a:p>
      </dsp:txBody>
      <dsp:txXfrm>
        <a:off x="986932" y="471248"/>
        <a:ext cx="82316" cy="69110"/>
      </dsp:txXfrm>
    </dsp:sp>
    <dsp:sp modelId="{FEBBF066-45AE-4AE1-8569-A53BDCE6274D}">
      <dsp:nvSpPr>
        <dsp:cNvPr id="0" name=""/>
        <dsp:cNvSpPr/>
      </dsp:nvSpPr>
      <dsp:spPr>
        <a:xfrm flipH="1">
          <a:off x="1135471" y="0"/>
          <a:ext cx="943171" cy="1011608"/>
        </a:xfrm>
        <a:prstGeom prst="roundRect">
          <a:avLst>
            <a:gd name="adj" fmla="val 10000"/>
          </a:avLst>
        </a:prstGeom>
        <a:gradFill rotWithShape="0">
          <a:gsLst>
            <a:gs pos="0">
              <a:schemeClr val="accent6">
                <a:alpha val="90000"/>
                <a:hueOff val="0"/>
                <a:satOff val="0"/>
                <a:lumOff val="0"/>
                <a:alphaOff val="-10000"/>
                <a:lumMod val="110000"/>
                <a:satMod val="105000"/>
                <a:tint val="67000"/>
              </a:schemeClr>
            </a:gs>
            <a:gs pos="50000">
              <a:schemeClr val="accent6">
                <a:alpha val="90000"/>
                <a:hueOff val="0"/>
                <a:satOff val="0"/>
                <a:lumOff val="0"/>
                <a:alphaOff val="-10000"/>
                <a:lumMod val="105000"/>
                <a:satMod val="103000"/>
                <a:tint val="73000"/>
              </a:schemeClr>
            </a:gs>
            <a:gs pos="100000">
              <a:schemeClr val="accent6">
                <a:alpha val="90000"/>
                <a:hueOff val="0"/>
                <a:satOff val="0"/>
                <a:lumOff val="0"/>
                <a:alphaOff val="-1000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53340" tIns="53340" rIns="53340" bIns="53340" numCol="1" spcCol="1270" anchor="ctr" anchorCtr="0">
          <a:noAutofit/>
        </a:bodyPr>
        <a:lstStyle/>
        <a:p>
          <a:pPr marL="0" lvl="0" indent="0" algn="ctr" defTabSz="622300">
            <a:lnSpc>
              <a:spcPct val="90000"/>
            </a:lnSpc>
            <a:spcBef>
              <a:spcPct val="0"/>
            </a:spcBef>
            <a:spcAft>
              <a:spcPct val="35000"/>
            </a:spcAft>
            <a:buNone/>
          </a:pPr>
          <a:r>
            <a:rPr lang="ja-JP" altLang="en-US" sz="1400" b="0" kern="1200" dirty="0">
              <a:latin typeface="HG創英角ｺﾞｼｯｸUB" panose="020B0909000000000000" pitchFamily="49" charset="-128"/>
              <a:ea typeface="HG創英角ｺﾞｼｯｸUB" panose="020B0909000000000000" pitchFamily="49" charset="-128"/>
            </a:rPr>
            <a:t>バージョン情報の確認</a:t>
          </a:r>
        </a:p>
      </dsp:txBody>
      <dsp:txXfrm>
        <a:off x="1163096" y="27625"/>
        <a:ext cx="887921" cy="956358"/>
      </dsp:txXfrm>
    </dsp:sp>
    <dsp:sp modelId="{82A88EAE-80C7-4440-A8ED-D91BE25489E4}">
      <dsp:nvSpPr>
        <dsp:cNvPr id="0" name=""/>
        <dsp:cNvSpPr/>
      </dsp:nvSpPr>
      <dsp:spPr>
        <a:xfrm>
          <a:off x="2115885" y="448211"/>
          <a:ext cx="116871" cy="115184"/>
        </a:xfrm>
        <a:prstGeom prst="rightArrow">
          <a:avLst>
            <a:gd name="adj1" fmla="val 60000"/>
            <a:gd name="adj2" fmla="val 50000"/>
          </a:avLst>
        </a:prstGeom>
        <a:gradFill rotWithShape="0">
          <a:gsLst>
            <a:gs pos="0">
              <a:schemeClr val="accent6">
                <a:shade val="90000"/>
                <a:hueOff val="126623"/>
                <a:satOff val="-5058"/>
                <a:lumOff val="11730"/>
                <a:alphaOff val="0"/>
                <a:lumMod val="110000"/>
                <a:satMod val="105000"/>
                <a:tint val="67000"/>
              </a:schemeClr>
            </a:gs>
            <a:gs pos="50000">
              <a:schemeClr val="accent6">
                <a:shade val="90000"/>
                <a:hueOff val="126623"/>
                <a:satOff val="-5058"/>
                <a:lumOff val="11730"/>
                <a:alphaOff val="0"/>
                <a:lumMod val="105000"/>
                <a:satMod val="103000"/>
                <a:tint val="73000"/>
              </a:schemeClr>
            </a:gs>
            <a:gs pos="100000">
              <a:schemeClr val="accent6">
                <a:shade val="90000"/>
                <a:hueOff val="126623"/>
                <a:satOff val="-5058"/>
                <a:lumOff val="11730"/>
                <a:alphaOff val="0"/>
                <a:lumMod val="105000"/>
                <a:satMod val="109000"/>
                <a:tint val="81000"/>
              </a:schemeClr>
            </a:gs>
          </a:gsLst>
          <a:lin ang="5400000" scaled="0"/>
        </a:gradFill>
        <a:ln>
          <a:noFill/>
        </a:ln>
        <a:effectLst/>
      </dsp:spPr>
      <dsp:style>
        <a:lnRef idx="0">
          <a:scrgbClr r="0" g="0" b="0"/>
        </a:lnRef>
        <a:fillRef idx="2">
          <a:scrgbClr r="0" g="0" b="0"/>
        </a:fillRef>
        <a:effectRef idx="1">
          <a:scrgbClr r="0" g="0" b="0"/>
        </a:effectRef>
        <a:fontRef idx="minor">
          <a:schemeClr val="dk1"/>
        </a:fontRef>
      </dsp:style>
      <dsp:txBody>
        <a:bodyPr spcFirstLastPara="0" vert="horz" wrap="square" lIns="0" tIns="0" rIns="0" bIns="0" numCol="1" spcCol="1270" anchor="ctr" anchorCtr="0">
          <a:noAutofit/>
        </a:bodyPr>
        <a:lstStyle/>
        <a:p>
          <a:pPr marL="0" lvl="0" indent="0" algn="ctr" defTabSz="622300">
            <a:lnSpc>
              <a:spcPct val="90000"/>
            </a:lnSpc>
            <a:spcBef>
              <a:spcPct val="0"/>
            </a:spcBef>
            <a:spcAft>
              <a:spcPct val="35000"/>
            </a:spcAft>
            <a:buNone/>
          </a:pPr>
          <a:endParaRPr kumimoji="1" lang="ja-JP" altLang="en-US" sz="1400" kern="1200"/>
        </a:p>
      </dsp:txBody>
      <dsp:txXfrm>
        <a:off x="2115885" y="471248"/>
        <a:ext cx="82316" cy="69110"/>
      </dsp:txXfrm>
    </dsp:sp>
    <dsp:sp modelId="{B1DB730F-C2EF-4E1D-A8C9-481847451E04}">
      <dsp:nvSpPr>
        <dsp:cNvPr id="0" name=""/>
        <dsp:cNvSpPr/>
      </dsp:nvSpPr>
      <dsp:spPr>
        <a:xfrm flipH="1">
          <a:off x="2264425" y="0"/>
          <a:ext cx="943171" cy="1011608"/>
        </a:xfrm>
        <a:prstGeom prst="roundRect">
          <a:avLst>
            <a:gd name="adj" fmla="val 10000"/>
          </a:avLst>
        </a:prstGeom>
        <a:gradFill rotWithShape="0">
          <a:gsLst>
            <a:gs pos="0">
              <a:schemeClr val="accent6">
                <a:alpha val="90000"/>
                <a:hueOff val="0"/>
                <a:satOff val="0"/>
                <a:lumOff val="0"/>
                <a:alphaOff val="-20000"/>
                <a:lumMod val="110000"/>
                <a:satMod val="105000"/>
                <a:tint val="67000"/>
              </a:schemeClr>
            </a:gs>
            <a:gs pos="50000">
              <a:schemeClr val="accent6">
                <a:alpha val="90000"/>
                <a:hueOff val="0"/>
                <a:satOff val="0"/>
                <a:lumOff val="0"/>
                <a:alphaOff val="-20000"/>
                <a:lumMod val="105000"/>
                <a:satMod val="103000"/>
                <a:tint val="73000"/>
              </a:schemeClr>
            </a:gs>
            <a:gs pos="100000">
              <a:schemeClr val="accent6">
                <a:alpha val="90000"/>
                <a:hueOff val="0"/>
                <a:satOff val="0"/>
                <a:lumOff val="0"/>
                <a:alphaOff val="-2000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53340" tIns="53340" rIns="53340" bIns="53340" numCol="1" spcCol="1270" anchor="ctr" anchorCtr="0">
          <a:noAutofit/>
        </a:bodyPr>
        <a:lstStyle/>
        <a:p>
          <a:pPr marL="0" lvl="0" indent="0" algn="ctr" defTabSz="622300">
            <a:lnSpc>
              <a:spcPct val="90000"/>
            </a:lnSpc>
            <a:spcBef>
              <a:spcPct val="0"/>
            </a:spcBef>
            <a:spcAft>
              <a:spcPct val="35000"/>
            </a:spcAft>
            <a:buNone/>
          </a:pPr>
          <a:r>
            <a:rPr lang="ja-JP" altLang="en-US" sz="1400" b="0" kern="1200" dirty="0">
              <a:latin typeface="HG創英角ｺﾞｼｯｸUB" panose="020B0909000000000000" pitchFamily="49" charset="-128"/>
              <a:ea typeface="HG創英角ｺﾞｼｯｸUB" panose="020B0909000000000000" pitchFamily="49" charset="-128"/>
            </a:rPr>
            <a:t>脆弱性関連情報の確認</a:t>
          </a:r>
          <a:endParaRPr lang="en-US" altLang="ja-JP" sz="1400" b="0" kern="1200" dirty="0">
            <a:latin typeface="HG創英角ｺﾞｼｯｸUB" panose="020B0909000000000000" pitchFamily="49" charset="-128"/>
            <a:ea typeface="HG創英角ｺﾞｼｯｸUB" panose="020B0909000000000000" pitchFamily="49" charset="-128"/>
          </a:endParaRPr>
        </a:p>
      </dsp:txBody>
      <dsp:txXfrm>
        <a:off x="2292050" y="27625"/>
        <a:ext cx="887921" cy="956358"/>
      </dsp:txXfrm>
    </dsp:sp>
    <dsp:sp modelId="{1D841FB9-5B53-4BA4-8262-68F853D920CD}">
      <dsp:nvSpPr>
        <dsp:cNvPr id="0" name=""/>
        <dsp:cNvSpPr/>
      </dsp:nvSpPr>
      <dsp:spPr>
        <a:xfrm>
          <a:off x="3244838" y="448211"/>
          <a:ext cx="116871" cy="115184"/>
        </a:xfrm>
        <a:prstGeom prst="rightArrow">
          <a:avLst>
            <a:gd name="adj1" fmla="val 60000"/>
            <a:gd name="adj2" fmla="val 50000"/>
          </a:avLst>
        </a:prstGeom>
        <a:gradFill rotWithShape="0">
          <a:gsLst>
            <a:gs pos="0">
              <a:schemeClr val="accent6">
                <a:shade val="90000"/>
                <a:hueOff val="253246"/>
                <a:satOff val="-10115"/>
                <a:lumOff val="23461"/>
                <a:alphaOff val="0"/>
                <a:lumMod val="110000"/>
                <a:satMod val="105000"/>
                <a:tint val="67000"/>
              </a:schemeClr>
            </a:gs>
            <a:gs pos="50000">
              <a:schemeClr val="accent6">
                <a:shade val="90000"/>
                <a:hueOff val="253246"/>
                <a:satOff val="-10115"/>
                <a:lumOff val="23461"/>
                <a:alphaOff val="0"/>
                <a:lumMod val="105000"/>
                <a:satMod val="103000"/>
                <a:tint val="73000"/>
              </a:schemeClr>
            </a:gs>
            <a:gs pos="100000">
              <a:schemeClr val="accent6">
                <a:shade val="90000"/>
                <a:hueOff val="253246"/>
                <a:satOff val="-10115"/>
                <a:lumOff val="23461"/>
                <a:alphaOff val="0"/>
                <a:lumMod val="105000"/>
                <a:satMod val="109000"/>
                <a:tint val="81000"/>
              </a:schemeClr>
            </a:gs>
          </a:gsLst>
          <a:lin ang="5400000" scaled="0"/>
        </a:gradFill>
        <a:ln>
          <a:noFill/>
        </a:ln>
        <a:effectLst/>
      </dsp:spPr>
      <dsp:style>
        <a:lnRef idx="0">
          <a:scrgbClr r="0" g="0" b="0"/>
        </a:lnRef>
        <a:fillRef idx="2">
          <a:scrgbClr r="0" g="0" b="0"/>
        </a:fillRef>
        <a:effectRef idx="1">
          <a:scrgbClr r="0" g="0" b="0"/>
        </a:effectRef>
        <a:fontRef idx="minor">
          <a:schemeClr val="dk1"/>
        </a:fontRef>
      </dsp:style>
      <dsp:txBody>
        <a:bodyPr spcFirstLastPara="0" vert="horz" wrap="square" lIns="0" tIns="0" rIns="0" bIns="0" numCol="1" spcCol="1270" anchor="ctr" anchorCtr="0">
          <a:noAutofit/>
        </a:bodyPr>
        <a:lstStyle/>
        <a:p>
          <a:pPr marL="0" lvl="0" indent="0" algn="ctr" defTabSz="622300">
            <a:lnSpc>
              <a:spcPct val="90000"/>
            </a:lnSpc>
            <a:spcBef>
              <a:spcPct val="0"/>
            </a:spcBef>
            <a:spcAft>
              <a:spcPct val="35000"/>
            </a:spcAft>
            <a:buNone/>
          </a:pPr>
          <a:endParaRPr lang="ja-JP" altLang="en-US" sz="1400" b="0" kern="1200">
            <a:solidFill>
              <a:sysClr val="windowText" lastClr="000000"/>
            </a:solidFill>
            <a:latin typeface="HG創英角ｺﾞｼｯｸUB" panose="020B0909000000000000" pitchFamily="49" charset="-128"/>
            <a:ea typeface="HG創英角ｺﾞｼｯｸUB" panose="020B0909000000000000" pitchFamily="49" charset="-128"/>
          </a:endParaRPr>
        </a:p>
      </dsp:txBody>
      <dsp:txXfrm>
        <a:off x="3244838" y="471248"/>
        <a:ext cx="82316" cy="69110"/>
      </dsp:txXfrm>
    </dsp:sp>
    <dsp:sp modelId="{685FBA1C-93C2-41C5-8F46-5ADA7DB6AD5C}">
      <dsp:nvSpPr>
        <dsp:cNvPr id="0" name=""/>
        <dsp:cNvSpPr/>
      </dsp:nvSpPr>
      <dsp:spPr>
        <a:xfrm flipH="1">
          <a:off x="3393378" y="0"/>
          <a:ext cx="943171" cy="1011608"/>
        </a:xfrm>
        <a:prstGeom prst="roundRect">
          <a:avLst>
            <a:gd name="adj" fmla="val 10000"/>
          </a:avLst>
        </a:prstGeom>
        <a:gradFill rotWithShape="0">
          <a:gsLst>
            <a:gs pos="0">
              <a:schemeClr val="accent6">
                <a:alpha val="90000"/>
                <a:hueOff val="0"/>
                <a:satOff val="0"/>
                <a:lumOff val="0"/>
                <a:alphaOff val="-30000"/>
                <a:lumMod val="110000"/>
                <a:satMod val="105000"/>
                <a:tint val="67000"/>
              </a:schemeClr>
            </a:gs>
            <a:gs pos="50000">
              <a:schemeClr val="accent6">
                <a:alpha val="90000"/>
                <a:hueOff val="0"/>
                <a:satOff val="0"/>
                <a:lumOff val="0"/>
                <a:alphaOff val="-30000"/>
                <a:lumMod val="105000"/>
                <a:satMod val="103000"/>
                <a:tint val="73000"/>
              </a:schemeClr>
            </a:gs>
            <a:gs pos="100000">
              <a:schemeClr val="accent6">
                <a:alpha val="90000"/>
                <a:hueOff val="0"/>
                <a:satOff val="0"/>
                <a:lumOff val="0"/>
                <a:alphaOff val="-3000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53340" tIns="53340" rIns="53340" bIns="53340" numCol="1" spcCol="1270" anchor="ctr" anchorCtr="0">
          <a:noAutofit/>
        </a:bodyPr>
        <a:lstStyle/>
        <a:p>
          <a:pPr marL="0" lvl="0" indent="0" algn="ctr" defTabSz="622300">
            <a:lnSpc>
              <a:spcPct val="90000"/>
            </a:lnSpc>
            <a:spcBef>
              <a:spcPct val="0"/>
            </a:spcBef>
            <a:spcAft>
              <a:spcPct val="35000"/>
            </a:spcAft>
            <a:buNone/>
          </a:pPr>
          <a:r>
            <a:rPr lang="ja-JP" altLang="en-US" sz="1400" b="0" kern="1200" baseline="0">
              <a:solidFill>
                <a:schemeClr val="dk1"/>
              </a:solidFill>
              <a:effectLst/>
              <a:latin typeface="HG創英角ｺﾞｼｯｸUB" panose="020B0909000000000000" pitchFamily="49" charset="-128"/>
              <a:ea typeface="HG創英角ｺﾞｼｯｸUB" panose="020B0909000000000000" pitchFamily="49" charset="-128"/>
              <a:cs typeface="+mn-cs"/>
            </a:rPr>
            <a:t>脆弱性の影響度の確認</a:t>
          </a:r>
          <a:endParaRPr lang="ja-JP" altLang="en-US" sz="1400" b="0" kern="1200" dirty="0">
            <a:latin typeface="HG創英角ｺﾞｼｯｸUB" panose="020B0909000000000000" pitchFamily="49" charset="-128"/>
            <a:ea typeface="HG創英角ｺﾞｼｯｸUB" panose="020B0909000000000000" pitchFamily="49" charset="-128"/>
          </a:endParaRPr>
        </a:p>
      </dsp:txBody>
      <dsp:txXfrm>
        <a:off x="3421003" y="27625"/>
        <a:ext cx="887921" cy="956358"/>
      </dsp:txXfrm>
    </dsp:sp>
    <dsp:sp modelId="{546F5181-ACAA-473E-88CF-B1B24CA91E6B}">
      <dsp:nvSpPr>
        <dsp:cNvPr id="0" name=""/>
        <dsp:cNvSpPr/>
      </dsp:nvSpPr>
      <dsp:spPr>
        <a:xfrm>
          <a:off x="4373791" y="448211"/>
          <a:ext cx="116871" cy="115184"/>
        </a:xfrm>
        <a:prstGeom prst="rightArrow">
          <a:avLst>
            <a:gd name="adj1" fmla="val 60000"/>
            <a:gd name="adj2" fmla="val 50000"/>
          </a:avLst>
        </a:prstGeom>
        <a:gradFill rotWithShape="0">
          <a:gsLst>
            <a:gs pos="0">
              <a:schemeClr val="accent6">
                <a:shade val="90000"/>
                <a:hueOff val="379870"/>
                <a:satOff val="-15173"/>
                <a:lumOff val="35191"/>
                <a:alphaOff val="0"/>
                <a:lumMod val="110000"/>
                <a:satMod val="105000"/>
                <a:tint val="67000"/>
              </a:schemeClr>
            </a:gs>
            <a:gs pos="50000">
              <a:schemeClr val="accent6">
                <a:shade val="90000"/>
                <a:hueOff val="379870"/>
                <a:satOff val="-15173"/>
                <a:lumOff val="35191"/>
                <a:alphaOff val="0"/>
                <a:lumMod val="105000"/>
                <a:satMod val="103000"/>
                <a:tint val="73000"/>
              </a:schemeClr>
            </a:gs>
            <a:gs pos="100000">
              <a:schemeClr val="accent6">
                <a:shade val="90000"/>
                <a:hueOff val="379870"/>
                <a:satOff val="-15173"/>
                <a:lumOff val="35191"/>
                <a:alphaOff val="0"/>
                <a:lumMod val="105000"/>
                <a:satMod val="109000"/>
                <a:tint val="81000"/>
              </a:schemeClr>
            </a:gs>
          </a:gsLst>
          <a:lin ang="5400000" scaled="0"/>
        </a:gradFill>
        <a:ln>
          <a:noFill/>
        </a:ln>
        <a:effectLst/>
      </dsp:spPr>
      <dsp:style>
        <a:lnRef idx="0">
          <a:scrgbClr r="0" g="0" b="0"/>
        </a:lnRef>
        <a:fillRef idx="2">
          <a:scrgbClr r="0" g="0" b="0"/>
        </a:fillRef>
        <a:effectRef idx="1">
          <a:scrgbClr r="0" g="0" b="0"/>
        </a:effectRef>
        <a:fontRef idx="minor">
          <a:schemeClr val="dk1"/>
        </a:fontRef>
      </dsp:style>
      <dsp:txBody>
        <a:bodyPr spcFirstLastPara="0" vert="horz" wrap="square" lIns="0" tIns="0" rIns="0" bIns="0" numCol="1" spcCol="1270" anchor="ctr" anchorCtr="0">
          <a:noAutofit/>
        </a:bodyPr>
        <a:lstStyle/>
        <a:p>
          <a:pPr marL="0" lvl="0" indent="0" algn="ctr" defTabSz="622300">
            <a:lnSpc>
              <a:spcPct val="90000"/>
            </a:lnSpc>
            <a:spcBef>
              <a:spcPct val="0"/>
            </a:spcBef>
            <a:spcAft>
              <a:spcPct val="35000"/>
            </a:spcAft>
            <a:buNone/>
          </a:pPr>
          <a:endParaRPr lang="ja-JP" altLang="en-US" sz="1400" b="0" kern="1200">
            <a:solidFill>
              <a:sysClr val="windowText" lastClr="000000"/>
            </a:solidFill>
            <a:latin typeface="HG創英角ｺﾞｼｯｸUB" panose="020B0909000000000000" pitchFamily="49" charset="-128"/>
            <a:ea typeface="HG創英角ｺﾞｼｯｸUB" panose="020B0909000000000000" pitchFamily="49" charset="-128"/>
          </a:endParaRPr>
        </a:p>
      </dsp:txBody>
      <dsp:txXfrm>
        <a:off x="4373791" y="471248"/>
        <a:ext cx="82316" cy="69110"/>
      </dsp:txXfrm>
    </dsp:sp>
    <dsp:sp modelId="{E7572EEB-1ECF-4492-8506-86F76FEB63CA}">
      <dsp:nvSpPr>
        <dsp:cNvPr id="0" name=""/>
        <dsp:cNvSpPr/>
      </dsp:nvSpPr>
      <dsp:spPr>
        <a:xfrm flipH="1">
          <a:off x="4522331" y="0"/>
          <a:ext cx="943171" cy="1011608"/>
        </a:xfrm>
        <a:prstGeom prst="roundRect">
          <a:avLst>
            <a:gd name="adj" fmla="val 10000"/>
          </a:avLst>
        </a:prstGeom>
        <a:gradFill rotWithShape="0">
          <a:gsLst>
            <a:gs pos="0">
              <a:schemeClr val="accent6">
                <a:alpha val="90000"/>
                <a:hueOff val="0"/>
                <a:satOff val="0"/>
                <a:lumOff val="0"/>
                <a:alphaOff val="-40000"/>
                <a:lumMod val="110000"/>
                <a:satMod val="105000"/>
                <a:tint val="67000"/>
              </a:schemeClr>
            </a:gs>
            <a:gs pos="50000">
              <a:schemeClr val="accent6">
                <a:alpha val="90000"/>
                <a:hueOff val="0"/>
                <a:satOff val="0"/>
                <a:lumOff val="0"/>
                <a:alphaOff val="-40000"/>
                <a:lumMod val="105000"/>
                <a:satMod val="103000"/>
                <a:tint val="73000"/>
              </a:schemeClr>
            </a:gs>
            <a:gs pos="100000">
              <a:schemeClr val="accent6">
                <a:alpha val="90000"/>
                <a:hueOff val="0"/>
                <a:satOff val="0"/>
                <a:lumOff val="0"/>
                <a:alphaOff val="-4000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53340" tIns="53340" rIns="53340" bIns="53340" numCol="1" spcCol="1270" anchor="ctr" anchorCtr="0">
          <a:noAutofit/>
        </a:bodyPr>
        <a:lstStyle/>
        <a:p>
          <a:pPr marL="0" lvl="0" indent="0" algn="ctr" defTabSz="622300">
            <a:lnSpc>
              <a:spcPct val="90000"/>
            </a:lnSpc>
            <a:spcBef>
              <a:spcPct val="0"/>
            </a:spcBef>
            <a:spcAft>
              <a:spcPct val="35000"/>
            </a:spcAft>
            <a:buNone/>
          </a:pPr>
          <a:r>
            <a:rPr lang="ja-JP" altLang="en-US" sz="1400" b="0" kern="1200" dirty="0">
              <a:latin typeface="HG創英角ｺﾞｼｯｸUB" panose="020B0909000000000000" pitchFamily="49" charset="-128"/>
              <a:ea typeface="HG創英角ｺﾞｼｯｸUB" panose="020B0909000000000000" pitchFamily="49" charset="-128"/>
            </a:rPr>
            <a:t>脆弱性対策の適用判断</a:t>
          </a:r>
        </a:p>
      </dsp:txBody>
      <dsp:txXfrm>
        <a:off x="4549956" y="27625"/>
        <a:ext cx="887921" cy="956358"/>
      </dsp:txXfrm>
    </dsp:sp>
  </dsp:spTree>
</dsp:drawing>
</file>

<file path=xl/diagrams/layout1.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3.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4.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5.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6.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QuickStyle" Target="../diagrams/quickStyle2.xml"/><Relationship Id="rId13" Type="http://schemas.openxmlformats.org/officeDocument/2006/relationships/diagramQuickStyle" Target="../diagrams/quickStyle3.xml"/><Relationship Id="rId18" Type="http://schemas.openxmlformats.org/officeDocument/2006/relationships/diagramQuickStyle" Target="../diagrams/quickStyle4.xml"/><Relationship Id="rId26" Type="http://schemas.openxmlformats.org/officeDocument/2006/relationships/diagramData" Target="../diagrams/data6.xml"/><Relationship Id="rId3" Type="http://schemas.openxmlformats.org/officeDocument/2006/relationships/diagramQuickStyle" Target="../diagrams/quickStyle1.xml"/><Relationship Id="rId21" Type="http://schemas.openxmlformats.org/officeDocument/2006/relationships/diagramData" Target="../diagrams/data5.xml"/><Relationship Id="rId7" Type="http://schemas.openxmlformats.org/officeDocument/2006/relationships/diagramLayout" Target="../diagrams/layout2.xml"/><Relationship Id="rId12" Type="http://schemas.openxmlformats.org/officeDocument/2006/relationships/diagramLayout" Target="../diagrams/layout3.xml"/><Relationship Id="rId17" Type="http://schemas.openxmlformats.org/officeDocument/2006/relationships/diagramLayout" Target="../diagrams/layout4.xml"/><Relationship Id="rId25" Type="http://schemas.microsoft.com/office/2007/relationships/diagramDrawing" Target="../diagrams/drawing5.xml"/><Relationship Id="rId2" Type="http://schemas.openxmlformats.org/officeDocument/2006/relationships/diagramLayout" Target="../diagrams/layout1.xml"/><Relationship Id="rId16" Type="http://schemas.openxmlformats.org/officeDocument/2006/relationships/diagramData" Target="../diagrams/data4.xml"/><Relationship Id="rId20" Type="http://schemas.microsoft.com/office/2007/relationships/diagramDrawing" Target="../diagrams/drawing4.xml"/><Relationship Id="rId29" Type="http://schemas.openxmlformats.org/officeDocument/2006/relationships/diagramColors" Target="../diagrams/colors6.xml"/><Relationship Id="rId1" Type="http://schemas.openxmlformats.org/officeDocument/2006/relationships/diagramData" Target="../diagrams/data1.xml"/><Relationship Id="rId6" Type="http://schemas.openxmlformats.org/officeDocument/2006/relationships/diagramData" Target="../diagrams/data2.xml"/><Relationship Id="rId11" Type="http://schemas.openxmlformats.org/officeDocument/2006/relationships/diagramData" Target="../diagrams/data3.xml"/><Relationship Id="rId24" Type="http://schemas.openxmlformats.org/officeDocument/2006/relationships/diagramColors" Target="../diagrams/colors5.xml"/><Relationship Id="rId5" Type="http://schemas.microsoft.com/office/2007/relationships/diagramDrawing" Target="../diagrams/drawing1.xml"/><Relationship Id="rId15" Type="http://schemas.microsoft.com/office/2007/relationships/diagramDrawing" Target="../diagrams/drawing3.xml"/><Relationship Id="rId23" Type="http://schemas.openxmlformats.org/officeDocument/2006/relationships/diagramQuickStyle" Target="../diagrams/quickStyle5.xml"/><Relationship Id="rId28" Type="http://schemas.openxmlformats.org/officeDocument/2006/relationships/diagramQuickStyle" Target="../diagrams/quickStyle6.xml"/><Relationship Id="rId10" Type="http://schemas.microsoft.com/office/2007/relationships/diagramDrawing" Target="../diagrams/drawing2.xml"/><Relationship Id="rId19" Type="http://schemas.openxmlformats.org/officeDocument/2006/relationships/diagramColors" Target="../diagrams/colors4.xml"/><Relationship Id="rId4" Type="http://schemas.openxmlformats.org/officeDocument/2006/relationships/diagramColors" Target="../diagrams/colors1.xml"/><Relationship Id="rId9" Type="http://schemas.openxmlformats.org/officeDocument/2006/relationships/diagramColors" Target="../diagrams/colors2.xml"/><Relationship Id="rId14" Type="http://schemas.openxmlformats.org/officeDocument/2006/relationships/diagramColors" Target="../diagrams/colors3.xml"/><Relationship Id="rId22" Type="http://schemas.openxmlformats.org/officeDocument/2006/relationships/diagramLayout" Target="../diagrams/layout5.xml"/><Relationship Id="rId27" Type="http://schemas.openxmlformats.org/officeDocument/2006/relationships/diagramLayout" Target="../diagrams/layout6.xml"/><Relationship Id="rId30" Type="http://schemas.microsoft.com/office/2007/relationships/diagramDrawing" Target="../diagrams/drawing6.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grpSp>
      <xdr:nvGrpSpPr>
        <xdr:cNvPr id="2" name="グループ化 1">
          <a:extLst>
            <a:ext uri="{FF2B5EF4-FFF2-40B4-BE49-F238E27FC236}">
              <a16:creationId xmlns:a16="http://schemas.microsoft.com/office/drawing/2014/main" id="{BAC66619-0EFB-46AE-801F-57B30DF6D309}"/>
            </a:ext>
          </a:extLst>
        </xdr:cNvPr>
        <xdr:cNvGrpSpPr/>
      </xdr:nvGrpSpPr>
      <xdr:grpSpPr>
        <a:xfrm>
          <a:off x="0" y="0"/>
          <a:ext cx="0" cy="0"/>
          <a:chOff x="40460" y="57119"/>
          <a:chExt cx="7646215" cy="42157681"/>
        </a:xfrm>
      </xdr:grpSpPr>
      <xdr:sp macro="" textlink="">
        <xdr:nvSpPr>
          <xdr:cNvPr id="3" name="テキスト ボックス 2">
            <a:extLst>
              <a:ext uri="{FF2B5EF4-FFF2-40B4-BE49-F238E27FC236}">
                <a16:creationId xmlns:a16="http://schemas.microsoft.com/office/drawing/2014/main" id="{EC035A29-7678-40FE-AE0E-98A766F3E86C}"/>
              </a:ext>
            </a:extLst>
          </xdr:cNvPr>
          <xdr:cNvSpPr txBox="1"/>
        </xdr:nvSpPr>
        <xdr:spPr>
          <a:xfrm>
            <a:off x="40460" y="57119"/>
            <a:ext cx="7646215" cy="4215768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pPr algn="l">
              <a:spcAft>
                <a:spcPts val="0"/>
              </a:spcAft>
            </a:pPr>
            <a:endParaRPr lang="en-US" altLang="ja-JP" sz="1100" b="0" baseline="0">
              <a:solidFill>
                <a:schemeClr val="dk1"/>
              </a:solidFill>
              <a:effectLst/>
              <a:latin typeface="Century" panose="02040604050505020304" pitchFamily="18" charset="0"/>
              <a:ea typeface="+mn-ea"/>
              <a:cs typeface="+mn-cs"/>
            </a:endParaRPr>
          </a:p>
        </xdr:txBody>
      </xdr:sp>
      <xdr:grpSp>
        <xdr:nvGrpSpPr>
          <xdr:cNvPr id="4" name="グループ化 3">
            <a:extLst>
              <a:ext uri="{FF2B5EF4-FFF2-40B4-BE49-F238E27FC236}">
                <a16:creationId xmlns:a16="http://schemas.microsoft.com/office/drawing/2014/main" id="{7946AF12-6F79-4CE8-84FF-41524BC7A40B}"/>
              </a:ext>
            </a:extLst>
          </xdr:cNvPr>
          <xdr:cNvGrpSpPr/>
        </xdr:nvGrpSpPr>
        <xdr:grpSpPr>
          <a:xfrm>
            <a:off x="475836" y="3068292"/>
            <a:ext cx="6713468" cy="923926"/>
            <a:chOff x="581025" y="2228850"/>
            <a:chExt cx="6083544" cy="923925"/>
          </a:xfrm>
        </xdr:grpSpPr>
        <xdr:graphicFrame macro="">
          <xdr:nvGraphicFramePr>
            <xdr:cNvPr id="7" name="図表 6">
              <a:extLst>
                <a:ext uri="{FF2B5EF4-FFF2-40B4-BE49-F238E27FC236}">
                  <a16:creationId xmlns:a16="http://schemas.microsoft.com/office/drawing/2014/main" id="{3B478DEA-CD76-4B12-A1FA-D71002474BED}"/>
                </a:ext>
              </a:extLst>
            </xdr:cNvPr>
            <xdr:cNvGraphicFramePr/>
          </xdr:nvGraphicFramePr>
          <xdr:xfrm>
            <a:off x="612451" y="2272813"/>
            <a:ext cx="6052118" cy="849924"/>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sp macro="" textlink="">
          <xdr:nvSpPr>
            <xdr:cNvPr id="8" name="フローチャート: 代替処理 7">
              <a:extLst>
                <a:ext uri="{FF2B5EF4-FFF2-40B4-BE49-F238E27FC236}">
                  <a16:creationId xmlns:a16="http://schemas.microsoft.com/office/drawing/2014/main" id="{2804E4FF-7F8C-4845-8518-765659A55532}"/>
                </a:ext>
              </a:extLst>
            </xdr:cNvPr>
            <xdr:cNvSpPr/>
          </xdr:nvSpPr>
          <xdr:spPr>
            <a:xfrm>
              <a:off x="581025" y="2228850"/>
              <a:ext cx="2990849" cy="923925"/>
            </a:xfrm>
            <a:prstGeom prst="flowChartAlternateProcess">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sz="1400">
                <a:solidFill>
                  <a:schemeClr val="tx1"/>
                </a:solidFill>
              </a:endParaRPr>
            </a:p>
          </xdr:txBody>
        </xdr:sp>
      </xdr:grpSp>
      <xdr:graphicFrame macro="">
        <xdr:nvGraphicFramePr>
          <xdr:cNvPr id="5" name="図表 4">
            <a:extLst>
              <a:ext uri="{FF2B5EF4-FFF2-40B4-BE49-F238E27FC236}">
                <a16:creationId xmlns:a16="http://schemas.microsoft.com/office/drawing/2014/main" id="{04140486-42B2-4840-B5D7-326AB6B031E9}"/>
              </a:ext>
            </a:extLst>
          </xdr:cNvPr>
          <xdr:cNvGraphicFramePr/>
        </xdr:nvGraphicFramePr>
        <xdr:xfrm>
          <a:off x="1082718" y="13554076"/>
          <a:ext cx="5480008" cy="914399"/>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graphicFrame macro="">
        <xdr:nvGraphicFramePr>
          <xdr:cNvPr id="6" name="図表 5">
            <a:extLst>
              <a:ext uri="{FF2B5EF4-FFF2-40B4-BE49-F238E27FC236}">
                <a16:creationId xmlns:a16="http://schemas.microsoft.com/office/drawing/2014/main" id="{161642F0-B96A-4227-B22A-75ECDDBB974C}"/>
              </a:ext>
            </a:extLst>
          </xdr:cNvPr>
          <xdr:cNvGraphicFramePr/>
        </xdr:nvGraphicFramePr>
        <xdr:xfrm>
          <a:off x="1003617" y="26203276"/>
          <a:ext cx="5473383" cy="933449"/>
        </xdr:xfrm>
        <a:graphic>
          <a:graphicData uri="http://schemas.openxmlformats.org/drawingml/2006/diagram">
            <dgm:relIds xmlns:dgm="http://schemas.openxmlformats.org/drawingml/2006/diagram" xmlns:r="http://schemas.openxmlformats.org/officeDocument/2006/relationships" r:dm="rId11" r:lo="rId12" r:qs="rId13" r:cs="rId14"/>
          </a:graphicData>
        </a:graphic>
      </xdr:graphicFrame>
    </xdr:grpSp>
    <xdr:clientData/>
  </xdr:twoCellAnchor>
  <xdr:twoCellAnchor>
    <xdr:from>
      <xdr:col>0</xdr:col>
      <xdr:colOff>1228725</xdr:colOff>
      <xdr:row>6</xdr:row>
      <xdr:rowOff>85725</xdr:rowOff>
    </xdr:from>
    <xdr:to>
      <xdr:col>1</xdr:col>
      <xdr:colOff>5353050</xdr:colOff>
      <xdr:row>11</xdr:row>
      <xdr:rowOff>28575</xdr:rowOff>
    </xdr:to>
    <xdr:graphicFrame macro="">
      <xdr:nvGraphicFramePr>
        <xdr:cNvPr id="16" name="図表 15">
          <a:extLst>
            <a:ext uri="{FF2B5EF4-FFF2-40B4-BE49-F238E27FC236}">
              <a16:creationId xmlns:a16="http://schemas.microsoft.com/office/drawing/2014/main" id="{7539C255-E084-4144-B84E-EE231CF62232}"/>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6" r:lo="rId17" r:qs="rId18" r:cs="rId19"/>
        </a:graphicData>
      </a:graphic>
    </xdr:graphicFrame>
    <xdr:clientData/>
  </xdr:twoCellAnchor>
  <xdr:twoCellAnchor>
    <xdr:from>
      <xdr:col>0</xdr:col>
      <xdr:colOff>1181101</xdr:colOff>
      <xdr:row>6</xdr:row>
      <xdr:rowOff>123825</xdr:rowOff>
    </xdr:from>
    <xdr:to>
      <xdr:col>1</xdr:col>
      <xdr:colOff>1803401</xdr:colOff>
      <xdr:row>10</xdr:row>
      <xdr:rowOff>215900</xdr:rowOff>
    </xdr:to>
    <xdr:sp macro="" textlink="">
      <xdr:nvSpPr>
        <xdr:cNvPr id="17" name="フローチャート: 代替処理 16">
          <a:extLst>
            <a:ext uri="{FF2B5EF4-FFF2-40B4-BE49-F238E27FC236}">
              <a16:creationId xmlns:a16="http://schemas.microsoft.com/office/drawing/2014/main" id="{0DA203A2-A069-4009-BEE8-43745D9F15C7}"/>
            </a:ext>
          </a:extLst>
        </xdr:cNvPr>
        <xdr:cNvSpPr/>
      </xdr:nvSpPr>
      <xdr:spPr>
        <a:xfrm>
          <a:off x="1181101" y="2651125"/>
          <a:ext cx="3454400" cy="1057275"/>
        </a:xfrm>
        <a:prstGeom prst="flowChartAlternateProcess">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sz="1400">
            <a:solidFill>
              <a:schemeClr val="tx1"/>
            </a:solidFill>
          </a:endParaRPr>
        </a:p>
      </xdr:txBody>
    </xdr:sp>
    <xdr:clientData/>
  </xdr:twoCellAnchor>
  <xdr:twoCellAnchor>
    <xdr:from>
      <xdr:col>0</xdr:col>
      <xdr:colOff>1836324</xdr:colOff>
      <xdr:row>41</xdr:row>
      <xdr:rowOff>146878</xdr:rowOff>
    </xdr:from>
    <xdr:to>
      <xdr:col>1</xdr:col>
      <xdr:colOff>4465223</xdr:colOff>
      <xdr:row>45</xdr:row>
      <xdr:rowOff>201707</xdr:rowOff>
    </xdr:to>
    <xdr:graphicFrame macro="">
      <xdr:nvGraphicFramePr>
        <xdr:cNvPr id="22" name="図表 21">
          <a:extLst>
            <a:ext uri="{FF2B5EF4-FFF2-40B4-BE49-F238E27FC236}">
              <a16:creationId xmlns:a16="http://schemas.microsoft.com/office/drawing/2014/main" id="{8AD03A2F-4679-4C03-B0CC-4ACF46396CAA}"/>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1" r:lo="rId22" r:qs="rId23" r:cs="rId24"/>
        </a:graphicData>
      </a:graphic>
    </xdr:graphicFrame>
    <xdr:clientData/>
  </xdr:twoCellAnchor>
  <xdr:twoCellAnchor>
    <xdr:from>
      <xdr:col>0</xdr:col>
      <xdr:colOff>1863496</xdr:colOff>
      <xdr:row>58</xdr:row>
      <xdr:rowOff>37701</xdr:rowOff>
    </xdr:from>
    <xdr:to>
      <xdr:col>1</xdr:col>
      <xdr:colOff>4506593</xdr:colOff>
      <xdr:row>62</xdr:row>
      <xdr:rowOff>96809</xdr:rowOff>
    </xdr:to>
    <xdr:graphicFrame macro="">
      <xdr:nvGraphicFramePr>
        <xdr:cNvPr id="23" name="図表 22">
          <a:extLst>
            <a:ext uri="{FF2B5EF4-FFF2-40B4-BE49-F238E27FC236}">
              <a16:creationId xmlns:a16="http://schemas.microsoft.com/office/drawing/2014/main" id="{735BE3A8-E4C8-4512-B663-2242BE8EDCF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6" r:lo="rId27" r:qs="rId28" r:cs="rId29"/>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6</xdr:col>
      <xdr:colOff>104775</xdr:colOff>
      <xdr:row>2</xdr:row>
      <xdr:rowOff>0</xdr:rowOff>
    </xdr:from>
    <xdr:to>
      <xdr:col>11</xdr:col>
      <xdr:colOff>774700</xdr:colOff>
      <xdr:row>3</xdr:row>
      <xdr:rowOff>142875</xdr:rowOff>
    </xdr:to>
    <xdr:sp macro="" textlink="">
      <xdr:nvSpPr>
        <xdr:cNvPr id="4" name="四角形: 角を丸くする 3">
          <a:extLst>
            <a:ext uri="{FF2B5EF4-FFF2-40B4-BE49-F238E27FC236}">
              <a16:creationId xmlns:a16="http://schemas.microsoft.com/office/drawing/2014/main" id="{5ED946F3-781E-4BFE-8324-8E4D1DEF924F}"/>
            </a:ext>
          </a:extLst>
        </xdr:cNvPr>
        <xdr:cNvSpPr>
          <a:spLocks noChangeAspect="1"/>
        </xdr:cNvSpPr>
      </xdr:nvSpPr>
      <xdr:spPr>
        <a:xfrm>
          <a:off x="13763625" y="485775"/>
          <a:ext cx="4718050" cy="504825"/>
        </a:xfrm>
        <a:prstGeom prst="roundRect">
          <a:avLst>
            <a:gd name="adj" fmla="val 0"/>
          </a:avLst>
        </a:prstGeom>
        <a:solidFill>
          <a:schemeClr val="accent5">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100" b="0">
              <a:solidFill>
                <a:schemeClr val="dk1"/>
              </a:solidFill>
              <a:effectLst/>
              <a:latin typeface="IPA Pゴシック" panose="020B0500000000000000" pitchFamily="50" charset="-128"/>
              <a:ea typeface="IPA Pゴシック" panose="020B0500000000000000" pitchFamily="50" charset="-128"/>
              <a:cs typeface="+mn-cs"/>
            </a:rPr>
            <a:t>【</a:t>
          </a:r>
          <a:r>
            <a:rPr kumimoji="1" lang="ja-JP" altLang="en-US" sz="1100" b="0">
              <a:solidFill>
                <a:schemeClr val="dk1"/>
              </a:solidFill>
              <a:effectLst/>
              <a:latin typeface="IPA Pゴシック" panose="020B0500000000000000" pitchFamily="50" charset="-128"/>
              <a:ea typeface="IPA Pゴシック" panose="020B0500000000000000" pitchFamily="50" charset="-128"/>
              <a:cs typeface="+mn-cs"/>
            </a:rPr>
            <a:t>初回作業</a:t>
          </a:r>
          <a:r>
            <a:rPr kumimoji="1" lang="en-US" altLang="ja-JP" sz="1100" b="0">
              <a:solidFill>
                <a:schemeClr val="dk1"/>
              </a:solidFill>
              <a:effectLst/>
              <a:latin typeface="IPA Pゴシック" panose="020B0500000000000000" pitchFamily="50" charset="-128"/>
              <a:ea typeface="IPA Pゴシック" panose="020B0500000000000000" pitchFamily="50" charset="-128"/>
              <a:cs typeface="+mn-cs"/>
            </a:rPr>
            <a:t>】</a:t>
          </a:r>
        </a:p>
        <a:p>
          <a:r>
            <a:rPr kumimoji="1" lang="ja-JP" altLang="en-US" sz="1100" b="0">
              <a:solidFill>
                <a:schemeClr val="dk1"/>
              </a:solidFill>
              <a:effectLst/>
              <a:latin typeface="IPA Pゴシック" panose="020B0500000000000000" pitchFamily="50" charset="-128"/>
              <a:ea typeface="IPA Pゴシック" panose="020B0500000000000000" pitchFamily="50" charset="-128"/>
              <a:cs typeface="+mn-cs"/>
            </a:rPr>
            <a:t>他シートからの参照用のため基本的に編集しません。</a:t>
          </a:r>
          <a:endParaRPr kumimoji="1" lang="ja-JP" altLang="en-US" sz="1100" b="0">
            <a:latin typeface="IPA Pゴシック" panose="020B0500000000000000" pitchFamily="50" charset="-128"/>
            <a:ea typeface="IPA Pゴシック" panose="020B0500000000000000" pitchFamily="50" charset="-128"/>
          </a:endParaRPr>
        </a:p>
      </xdr:txBody>
    </xdr:sp>
    <xdr:clientData fLocksWithSheet="0" fPrintsWithSheet="0"/>
  </xdr:twoCellAnchor>
  <xdr:twoCellAnchor editAs="absolute">
    <xdr:from>
      <xdr:col>6</xdr:col>
      <xdr:colOff>95250</xdr:colOff>
      <xdr:row>3</xdr:row>
      <xdr:rowOff>219075</xdr:rowOff>
    </xdr:from>
    <xdr:to>
      <xdr:col>11</xdr:col>
      <xdr:colOff>771525</xdr:colOff>
      <xdr:row>3</xdr:row>
      <xdr:rowOff>723900</xdr:rowOff>
    </xdr:to>
    <xdr:sp macro="" textlink="">
      <xdr:nvSpPr>
        <xdr:cNvPr id="7" name="四角形: 角を丸くする 6">
          <a:extLst>
            <a:ext uri="{FF2B5EF4-FFF2-40B4-BE49-F238E27FC236}">
              <a16:creationId xmlns:a16="http://schemas.microsoft.com/office/drawing/2014/main" id="{0C9AA9CF-32FB-4F16-B405-360D2C344943}"/>
            </a:ext>
          </a:extLst>
        </xdr:cNvPr>
        <xdr:cNvSpPr>
          <a:spLocks noChangeAspect="1"/>
        </xdr:cNvSpPr>
      </xdr:nvSpPr>
      <xdr:spPr>
        <a:xfrm>
          <a:off x="13754100" y="1066800"/>
          <a:ext cx="4724400" cy="504825"/>
        </a:xfrm>
        <a:prstGeom prst="roundRect">
          <a:avLst>
            <a:gd name="adj" fmla="val 0"/>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100" b="0">
              <a:solidFill>
                <a:schemeClr val="dk1"/>
              </a:solidFill>
              <a:effectLst/>
              <a:latin typeface="IPA Pゴシック" panose="020B0500000000000000" pitchFamily="50" charset="-128"/>
              <a:ea typeface="IPA Pゴシック" panose="020B0500000000000000" pitchFamily="50" charset="-128"/>
              <a:cs typeface="+mn-cs"/>
            </a:rPr>
            <a:t>【</a:t>
          </a:r>
          <a:r>
            <a:rPr kumimoji="1" lang="ja-JP" altLang="en-US" sz="1100" b="0">
              <a:solidFill>
                <a:schemeClr val="dk1"/>
              </a:solidFill>
              <a:effectLst/>
              <a:latin typeface="IPA Pゴシック" panose="020B0500000000000000" pitchFamily="50" charset="-128"/>
              <a:ea typeface="IPA Pゴシック" panose="020B0500000000000000" pitchFamily="50" charset="-128"/>
              <a:cs typeface="+mn-cs"/>
            </a:rPr>
            <a:t>定期作業</a:t>
          </a:r>
          <a:r>
            <a:rPr kumimoji="1" lang="en-US" altLang="ja-JP" sz="1100" b="0">
              <a:solidFill>
                <a:schemeClr val="dk1"/>
              </a:solidFill>
              <a:effectLst/>
              <a:latin typeface="IPA Pゴシック" panose="020B0500000000000000" pitchFamily="50" charset="-128"/>
              <a:ea typeface="IPA Pゴシック" panose="020B0500000000000000" pitchFamily="50" charset="-128"/>
              <a:cs typeface="+mn-cs"/>
            </a:rPr>
            <a:t>】</a:t>
          </a:r>
        </a:p>
        <a:p>
          <a:r>
            <a:rPr kumimoji="1" lang="ja-JP" altLang="en-US" sz="1100" b="0">
              <a:solidFill>
                <a:schemeClr val="dk1"/>
              </a:solidFill>
              <a:effectLst/>
              <a:latin typeface="IPA Pゴシック" panose="020B0500000000000000" pitchFamily="50" charset="-128"/>
              <a:ea typeface="IPA Pゴシック" panose="020B0500000000000000" pitchFamily="50" charset="-128"/>
              <a:cs typeface="+mn-cs"/>
            </a:rPr>
            <a:t>他シートからの参照用のため基本的に編集しません。</a:t>
          </a: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absolute">
    <xdr:from>
      <xdr:col>4</xdr:col>
      <xdr:colOff>101600</xdr:colOff>
      <xdr:row>1</xdr:row>
      <xdr:rowOff>234950</xdr:rowOff>
    </xdr:from>
    <xdr:to>
      <xdr:col>9</xdr:col>
      <xdr:colOff>723900</xdr:colOff>
      <xdr:row>4</xdr:row>
      <xdr:rowOff>25400</xdr:rowOff>
    </xdr:to>
    <xdr:sp macro="" textlink="">
      <xdr:nvSpPr>
        <xdr:cNvPr id="3" name="四角形: 角を丸くする 2">
          <a:extLst>
            <a:ext uri="{FF2B5EF4-FFF2-40B4-BE49-F238E27FC236}">
              <a16:creationId xmlns:a16="http://schemas.microsoft.com/office/drawing/2014/main" id="{EE6950C5-CCE2-4B0A-BE4A-7E08A8A8D0A6}"/>
            </a:ext>
          </a:extLst>
        </xdr:cNvPr>
        <xdr:cNvSpPr>
          <a:spLocks noChangeAspect="1"/>
        </xdr:cNvSpPr>
      </xdr:nvSpPr>
      <xdr:spPr>
        <a:xfrm>
          <a:off x="9559925" y="482600"/>
          <a:ext cx="4670425" cy="504825"/>
        </a:xfrm>
        <a:prstGeom prst="roundRect">
          <a:avLst>
            <a:gd name="adj" fmla="val 0"/>
          </a:avLst>
        </a:prstGeom>
        <a:solidFill>
          <a:schemeClr val="accent5">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100" b="0">
              <a:solidFill>
                <a:schemeClr val="dk1"/>
              </a:solidFill>
              <a:effectLst/>
              <a:latin typeface="IPA Pゴシック" panose="020B0500000000000000" pitchFamily="50" charset="-128"/>
              <a:ea typeface="IPA Pゴシック" panose="020B0500000000000000" pitchFamily="50" charset="-128"/>
              <a:cs typeface="+mn-cs"/>
            </a:rPr>
            <a:t>【</a:t>
          </a:r>
          <a:r>
            <a:rPr kumimoji="1" lang="ja-JP" altLang="en-US" sz="1100" b="0">
              <a:solidFill>
                <a:schemeClr val="dk1"/>
              </a:solidFill>
              <a:effectLst/>
              <a:latin typeface="IPA Pゴシック" panose="020B0500000000000000" pitchFamily="50" charset="-128"/>
              <a:ea typeface="IPA Pゴシック" panose="020B0500000000000000" pitchFamily="50" charset="-128"/>
              <a:cs typeface="+mn-cs"/>
            </a:rPr>
            <a:t>初回作業</a:t>
          </a:r>
          <a:r>
            <a:rPr kumimoji="1" lang="en-US" altLang="ja-JP" sz="1100" b="0">
              <a:solidFill>
                <a:schemeClr val="dk1"/>
              </a:solidFill>
              <a:effectLst/>
              <a:latin typeface="IPA Pゴシック" panose="020B0500000000000000" pitchFamily="50" charset="-128"/>
              <a:ea typeface="IPA Pゴシック" panose="020B0500000000000000" pitchFamily="50" charset="-128"/>
              <a:cs typeface="+mn-cs"/>
            </a:rPr>
            <a:t>】</a:t>
          </a:r>
        </a:p>
        <a:p>
          <a:r>
            <a:rPr kumimoji="1" lang="ja-JP" altLang="en-US" sz="1100" b="0">
              <a:solidFill>
                <a:schemeClr val="dk1"/>
              </a:solidFill>
              <a:effectLst/>
              <a:latin typeface="IPA Pゴシック" panose="020B0500000000000000" pitchFamily="50" charset="-128"/>
              <a:ea typeface="IPA Pゴシック" panose="020B0500000000000000" pitchFamily="50" charset="-128"/>
              <a:cs typeface="+mn-cs"/>
            </a:rPr>
            <a:t>他シートからの参照用のため基本的に編集しません。</a:t>
          </a:r>
          <a:endParaRPr kumimoji="1" lang="ja-JP" altLang="en-US" sz="1100" b="0">
            <a:latin typeface="IPA Pゴシック" panose="020B0500000000000000" pitchFamily="50" charset="-128"/>
            <a:ea typeface="IPA Pゴシック" panose="020B0500000000000000" pitchFamily="50" charset="-128"/>
          </a:endParaRPr>
        </a:p>
      </xdr:txBody>
    </xdr:sp>
    <xdr:clientData fLocksWithSheet="0" fPrintsWithSheet="0"/>
  </xdr:twoCellAnchor>
  <xdr:twoCellAnchor editAs="absolute">
    <xdr:from>
      <xdr:col>4</xdr:col>
      <xdr:colOff>104775</xdr:colOff>
      <xdr:row>4</xdr:row>
      <xdr:rowOff>142875</xdr:rowOff>
    </xdr:from>
    <xdr:to>
      <xdr:col>9</xdr:col>
      <xdr:colOff>733425</xdr:colOff>
      <xdr:row>6</xdr:row>
      <xdr:rowOff>171450</xdr:rowOff>
    </xdr:to>
    <xdr:sp macro="" textlink="">
      <xdr:nvSpPr>
        <xdr:cNvPr id="5" name="四角形: 角を丸くする 4">
          <a:extLst>
            <a:ext uri="{FF2B5EF4-FFF2-40B4-BE49-F238E27FC236}">
              <a16:creationId xmlns:a16="http://schemas.microsoft.com/office/drawing/2014/main" id="{D58C3D3D-A03E-4588-AD75-7707896B10AD}"/>
            </a:ext>
          </a:extLst>
        </xdr:cNvPr>
        <xdr:cNvSpPr>
          <a:spLocks noChangeAspect="1"/>
        </xdr:cNvSpPr>
      </xdr:nvSpPr>
      <xdr:spPr>
        <a:xfrm>
          <a:off x="9563100" y="1104900"/>
          <a:ext cx="4676775" cy="504825"/>
        </a:xfrm>
        <a:prstGeom prst="roundRect">
          <a:avLst>
            <a:gd name="adj" fmla="val 0"/>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100" b="0">
              <a:solidFill>
                <a:schemeClr val="dk1"/>
              </a:solidFill>
              <a:effectLst/>
              <a:latin typeface="IPA Pゴシック" panose="020B0500000000000000" pitchFamily="50" charset="-128"/>
              <a:ea typeface="IPA Pゴシック" panose="020B0500000000000000" pitchFamily="50" charset="-128"/>
              <a:cs typeface="+mn-cs"/>
            </a:rPr>
            <a:t>【</a:t>
          </a:r>
          <a:r>
            <a:rPr kumimoji="1" lang="ja-JP" altLang="en-US" sz="1100" b="0">
              <a:solidFill>
                <a:schemeClr val="dk1"/>
              </a:solidFill>
              <a:effectLst/>
              <a:latin typeface="IPA Pゴシック" panose="020B0500000000000000" pitchFamily="50" charset="-128"/>
              <a:ea typeface="IPA Pゴシック" panose="020B0500000000000000" pitchFamily="50" charset="-128"/>
              <a:cs typeface="+mn-cs"/>
            </a:rPr>
            <a:t>定期作業</a:t>
          </a:r>
          <a:r>
            <a:rPr kumimoji="1" lang="en-US" altLang="ja-JP" sz="1100" b="0">
              <a:solidFill>
                <a:schemeClr val="dk1"/>
              </a:solidFill>
              <a:effectLst/>
              <a:latin typeface="IPA Pゴシック" panose="020B0500000000000000" pitchFamily="50" charset="-128"/>
              <a:ea typeface="IPA Pゴシック" panose="020B0500000000000000" pitchFamily="50" charset="-128"/>
              <a:cs typeface="+mn-cs"/>
            </a:rPr>
            <a:t>】</a:t>
          </a:r>
        </a:p>
        <a:p>
          <a:r>
            <a:rPr kumimoji="1" lang="ja-JP" altLang="en-US" sz="1100" b="0">
              <a:solidFill>
                <a:schemeClr val="dk1"/>
              </a:solidFill>
              <a:effectLst/>
              <a:latin typeface="IPA Pゴシック" panose="020B0500000000000000" pitchFamily="50" charset="-128"/>
              <a:ea typeface="IPA Pゴシック" panose="020B0500000000000000" pitchFamily="50" charset="-128"/>
              <a:cs typeface="+mn-cs"/>
            </a:rPr>
            <a:t>他シートからの参照用のため基本的に編集しません。</a:t>
          </a: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twoCellAnchor editAs="absolute">
    <xdr:from>
      <xdr:col>2</xdr:col>
      <xdr:colOff>126999</xdr:colOff>
      <xdr:row>2</xdr:row>
      <xdr:rowOff>3173</xdr:rowOff>
    </xdr:from>
    <xdr:to>
      <xdr:col>7</xdr:col>
      <xdr:colOff>790575</xdr:colOff>
      <xdr:row>14</xdr:row>
      <xdr:rowOff>180974</xdr:rowOff>
    </xdr:to>
    <xdr:sp macro="" textlink="">
      <xdr:nvSpPr>
        <xdr:cNvPr id="8" name="四角形: 角を丸くする 7">
          <a:extLst>
            <a:ext uri="{FF2B5EF4-FFF2-40B4-BE49-F238E27FC236}">
              <a16:creationId xmlns:a16="http://schemas.microsoft.com/office/drawing/2014/main" id="{B70A77F1-4017-4666-8312-F3A73D0DBA10}"/>
            </a:ext>
          </a:extLst>
        </xdr:cNvPr>
        <xdr:cNvSpPr>
          <a:spLocks noChangeAspect="1"/>
        </xdr:cNvSpPr>
      </xdr:nvSpPr>
      <xdr:spPr>
        <a:xfrm>
          <a:off x="5318124" y="488948"/>
          <a:ext cx="4711701" cy="3035301"/>
        </a:xfrm>
        <a:prstGeom prst="roundRect">
          <a:avLst>
            <a:gd name="adj" fmla="val 0"/>
          </a:avLst>
        </a:prstGeom>
        <a:solidFill>
          <a:schemeClr val="accent5">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100">
              <a:solidFill>
                <a:schemeClr val="dk1"/>
              </a:solidFill>
              <a:effectLst/>
              <a:latin typeface="IPA Pゴシック" panose="020B0500000000000000" pitchFamily="50" charset="-128"/>
              <a:ea typeface="IPA Pゴシック" panose="020B0500000000000000" pitchFamily="50" charset="-128"/>
              <a:cs typeface="+mn-cs"/>
            </a:rPr>
            <a:t>【</a:t>
          </a:r>
          <a:r>
            <a:rPr kumimoji="1" lang="ja-JP" altLang="en-US" sz="1100">
              <a:solidFill>
                <a:schemeClr val="dk1"/>
              </a:solidFill>
              <a:effectLst/>
              <a:latin typeface="IPA Pゴシック" panose="020B0500000000000000" pitchFamily="50" charset="-128"/>
              <a:ea typeface="IPA Pゴシック" panose="020B0500000000000000" pitchFamily="50" charset="-128"/>
              <a:cs typeface="+mn-cs"/>
            </a:rPr>
            <a:t>初回作業</a:t>
          </a:r>
          <a:r>
            <a:rPr kumimoji="1" lang="en-US" altLang="ja-JP" sz="1100">
              <a:solidFill>
                <a:schemeClr val="dk1"/>
              </a:solidFill>
              <a:effectLst/>
              <a:latin typeface="IPA Pゴシック" panose="020B0500000000000000" pitchFamily="50" charset="-128"/>
              <a:ea typeface="IPA Pゴシック" panose="020B0500000000000000" pitchFamily="50" charset="-128"/>
              <a:cs typeface="+mn-cs"/>
            </a:rPr>
            <a:t>】</a:t>
          </a:r>
        </a:p>
        <a:p>
          <a:r>
            <a:rPr kumimoji="1" lang="en-US" altLang="ja-JP" sz="1100">
              <a:solidFill>
                <a:schemeClr val="dk1"/>
              </a:solidFill>
              <a:effectLst/>
              <a:latin typeface="IPA Pゴシック" panose="020B0500000000000000" pitchFamily="50" charset="-128"/>
              <a:ea typeface="IPA Pゴシック" panose="020B0500000000000000" pitchFamily="50" charset="-128"/>
              <a:cs typeface="+mn-cs"/>
            </a:rPr>
            <a:t>■</a:t>
          </a:r>
          <a:r>
            <a:rPr kumimoji="1" lang="ja-JP" altLang="en-US" sz="1100">
              <a:solidFill>
                <a:schemeClr val="dk1"/>
              </a:solidFill>
              <a:effectLst/>
              <a:latin typeface="IPA Pゴシック" panose="020B0500000000000000" pitchFamily="50" charset="-128"/>
              <a:ea typeface="IPA Pゴシック" panose="020B0500000000000000" pitchFamily="50" charset="-128"/>
              <a:cs typeface="+mn-cs"/>
            </a:rPr>
            <a:t>対応方針の設定</a:t>
          </a:r>
        </a:p>
        <a:p>
          <a:r>
            <a:rPr kumimoji="1" lang="ja-JP" altLang="en-US" sz="1100">
              <a:solidFill>
                <a:schemeClr val="dk1"/>
              </a:solidFill>
              <a:effectLst/>
              <a:latin typeface="IPA Pゴシック" panose="020B0500000000000000" pitchFamily="50" charset="-128"/>
              <a:ea typeface="IPA Pゴシック" panose="020B0500000000000000" pitchFamily="50" charset="-128"/>
              <a:cs typeface="+mn-cs"/>
            </a:rPr>
            <a:t>①　</a:t>
          </a:r>
          <a:r>
            <a:rPr kumimoji="1" lang="en-US" altLang="ja-JP" sz="1100">
              <a:solidFill>
                <a:schemeClr val="dk1"/>
              </a:solidFill>
              <a:effectLst/>
              <a:latin typeface="IPA Pゴシック" panose="020B0500000000000000" pitchFamily="50" charset="-128"/>
              <a:ea typeface="IPA Pゴシック" panose="020B0500000000000000" pitchFamily="50" charset="-128"/>
              <a:cs typeface="+mn-cs"/>
            </a:rPr>
            <a:t>A[23]</a:t>
          </a:r>
          <a:r>
            <a:rPr kumimoji="1" lang="ja-JP" altLang="en-US" sz="1100">
              <a:solidFill>
                <a:schemeClr val="dk1"/>
              </a:solidFill>
              <a:effectLst/>
              <a:latin typeface="IPA Pゴシック" panose="020B0500000000000000" pitchFamily="50" charset="-128"/>
              <a:ea typeface="IPA Pゴシック" panose="020B0500000000000000" pitchFamily="50" charset="-128"/>
              <a:cs typeface="+mn-cs"/>
            </a:rPr>
            <a:t>～</a:t>
          </a:r>
          <a:r>
            <a:rPr kumimoji="1" lang="en-US" altLang="ja-JP" sz="1100">
              <a:solidFill>
                <a:schemeClr val="dk1"/>
              </a:solidFill>
              <a:effectLst/>
              <a:latin typeface="IPA Pゴシック" panose="020B0500000000000000" pitchFamily="50" charset="-128"/>
              <a:ea typeface="IPA Pゴシック" panose="020B0500000000000000" pitchFamily="50" charset="-128"/>
              <a:cs typeface="+mn-cs"/>
            </a:rPr>
            <a:t>B[28]</a:t>
          </a:r>
          <a:r>
            <a:rPr kumimoji="1" lang="ja-JP" altLang="en-US" sz="1100">
              <a:solidFill>
                <a:schemeClr val="dk1"/>
              </a:solidFill>
              <a:effectLst/>
              <a:latin typeface="IPA Pゴシック" panose="020B0500000000000000" pitchFamily="50" charset="-128"/>
              <a:ea typeface="IPA Pゴシック" panose="020B0500000000000000" pitchFamily="50" charset="-128"/>
              <a:cs typeface="+mn-cs"/>
            </a:rPr>
            <a:t>にある、脆弱性の緊急度に対する対応方針目安の</a:t>
          </a:r>
        </a:p>
        <a:p>
          <a:r>
            <a:rPr kumimoji="1" lang="ja-JP" altLang="en-US" sz="1100">
              <a:solidFill>
                <a:schemeClr val="dk1"/>
              </a:solidFill>
              <a:effectLst/>
              <a:latin typeface="IPA Pゴシック" panose="020B0500000000000000" pitchFamily="50" charset="-128"/>
              <a:ea typeface="IPA Pゴシック" panose="020B0500000000000000" pitchFamily="50" charset="-128"/>
              <a:cs typeface="+mn-cs"/>
            </a:rPr>
            <a:t>　期間を自組織の運用に合わせて変更します。</a:t>
          </a:r>
        </a:p>
        <a:p>
          <a:r>
            <a:rPr kumimoji="1" lang="ja-JP" altLang="en-US" sz="1100">
              <a:solidFill>
                <a:schemeClr val="dk1"/>
              </a:solidFill>
              <a:effectLst/>
              <a:latin typeface="IPA Pゴシック" panose="020B0500000000000000" pitchFamily="50" charset="-128"/>
              <a:ea typeface="IPA Pゴシック" panose="020B0500000000000000" pitchFamily="50" charset="-128"/>
              <a:cs typeface="+mn-cs"/>
            </a:rPr>
            <a:t>②　</a:t>
          </a:r>
          <a:r>
            <a:rPr kumimoji="1" lang="en-US" altLang="ja-JP" sz="1100">
              <a:solidFill>
                <a:schemeClr val="dk1"/>
              </a:solidFill>
              <a:effectLst/>
              <a:latin typeface="IPA Pゴシック" panose="020B0500000000000000" pitchFamily="50" charset="-128"/>
              <a:ea typeface="IPA Pゴシック" panose="020B0500000000000000" pitchFamily="50" charset="-128"/>
              <a:cs typeface="+mn-cs"/>
            </a:rPr>
            <a:t>A[30]</a:t>
          </a:r>
          <a:r>
            <a:rPr kumimoji="1" lang="ja-JP" altLang="en-US" sz="1100">
              <a:solidFill>
                <a:schemeClr val="dk1"/>
              </a:solidFill>
              <a:effectLst/>
              <a:latin typeface="IPA Pゴシック" panose="020B0500000000000000" pitchFamily="50" charset="-128"/>
              <a:ea typeface="IPA Pゴシック" panose="020B0500000000000000" pitchFamily="50" charset="-128"/>
              <a:cs typeface="+mn-cs"/>
            </a:rPr>
            <a:t>～</a:t>
          </a:r>
          <a:r>
            <a:rPr kumimoji="1" lang="en-US" altLang="ja-JP" sz="1100">
              <a:solidFill>
                <a:schemeClr val="dk1"/>
              </a:solidFill>
              <a:effectLst/>
              <a:latin typeface="IPA Pゴシック" panose="020B0500000000000000" pitchFamily="50" charset="-128"/>
              <a:ea typeface="IPA Pゴシック" panose="020B0500000000000000" pitchFamily="50" charset="-128"/>
              <a:cs typeface="+mn-cs"/>
            </a:rPr>
            <a:t>B[40]</a:t>
          </a:r>
          <a:r>
            <a:rPr kumimoji="1" lang="ja-JP" altLang="en-US" sz="1100">
              <a:solidFill>
                <a:schemeClr val="dk1"/>
              </a:solidFill>
              <a:effectLst/>
              <a:latin typeface="IPA Pゴシック" panose="020B0500000000000000" pitchFamily="50" charset="-128"/>
              <a:ea typeface="IPA Pゴシック" panose="020B0500000000000000" pitchFamily="50" charset="-128"/>
              <a:cs typeface="+mn-cs"/>
            </a:rPr>
            <a:t>は、脆弱性の適用判断において留意すべき情報等</a:t>
          </a:r>
        </a:p>
        <a:p>
          <a:r>
            <a:rPr kumimoji="1" lang="ja-JP" altLang="en-US" sz="1100">
              <a:solidFill>
                <a:schemeClr val="dk1"/>
              </a:solidFill>
              <a:effectLst/>
              <a:latin typeface="IPA Pゴシック" panose="020B0500000000000000" pitchFamily="50" charset="-128"/>
              <a:ea typeface="IPA Pゴシック" panose="020B0500000000000000" pitchFamily="50" charset="-128"/>
              <a:cs typeface="+mn-cs"/>
            </a:rPr>
            <a:t>　を必要に応じて追加します。</a:t>
          </a:r>
        </a:p>
        <a:p>
          <a:r>
            <a:rPr kumimoji="1" lang="ja-JP" altLang="en-US" sz="1100">
              <a:solidFill>
                <a:schemeClr val="dk1"/>
              </a:solidFill>
              <a:effectLst/>
              <a:latin typeface="IPA Pゴシック" panose="020B0500000000000000" pitchFamily="50" charset="-128"/>
              <a:ea typeface="IPA Pゴシック" panose="020B0500000000000000" pitchFamily="50" charset="-128"/>
              <a:cs typeface="+mn-cs"/>
            </a:rPr>
            <a:t>③　②の変更を行った場合は「脆弱性対策の適用判断」シートの</a:t>
          </a:r>
        </a:p>
        <a:p>
          <a:r>
            <a:rPr kumimoji="1" lang="ja-JP" altLang="en-US" sz="1100">
              <a:solidFill>
                <a:schemeClr val="dk1"/>
              </a:solidFill>
              <a:effectLst/>
              <a:latin typeface="IPA Pゴシック" panose="020B0500000000000000" pitchFamily="50" charset="-128"/>
              <a:ea typeface="IPA Pゴシック" panose="020B0500000000000000" pitchFamily="50" charset="-128"/>
              <a:cs typeface="+mn-cs"/>
            </a:rPr>
            <a:t>　</a:t>
          </a:r>
          <a:r>
            <a:rPr kumimoji="1" lang="en-US" altLang="ja-JP" sz="1100">
              <a:solidFill>
                <a:schemeClr val="dk1"/>
              </a:solidFill>
              <a:effectLst/>
              <a:latin typeface="IPA Pゴシック" panose="020B0500000000000000" pitchFamily="50" charset="-128"/>
              <a:ea typeface="IPA Pゴシック" panose="020B0500000000000000" pitchFamily="50" charset="-128"/>
              <a:cs typeface="+mn-cs"/>
            </a:rPr>
            <a:t>G</a:t>
          </a:r>
          <a:r>
            <a:rPr kumimoji="1" lang="ja-JP" altLang="en-US" sz="1100">
              <a:solidFill>
                <a:schemeClr val="dk1"/>
              </a:solidFill>
              <a:effectLst/>
              <a:latin typeface="IPA Pゴシック" panose="020B0500000000000000" pitchFamily="50" charset="-128"/>
              <a:ea typeface="IPA Pゴシック" panose="020B0500000000000000" pitchFamily="50" charset="-128"/>
              <a:cs typeface="+mn-cs"/>
            </a:rPr>
            <a:t>列（備考）のプルダウンを確認し、変更した項目が選択できる</a:t>
          </a:r>
        </a:p>
        <a:p>
          <a:r>
            <a:rPr kumimoji="1" lang="ja-JP" altLang="en-US" sz="1100">
              <a:solidFill>
                <a:schemeClr val="dk1"/>
              </a:solidFill>
              <a:effectLst/>
              <a:latin typeface="IPA Pゴシック" panose="020B0500000000000000" pitchFamily="50" charset="-128"/>
              <a:ea typeface="IPA Pゴシック" panose="020B0500000000000000" pitchFamily="50" charset="-128"/>
              <a:cs typeface="+mn-cs"/>
            </a:rPr>
            <a:t>　か確認します。</a:t>
          </a:r>
        </a:p>
        <a:p>
          <a:r>
            <a:rPr kumimoji="1" lang="ja-JP" altLang="en-US" sz="1100">
              <a:solidFill>
                <a:schemeClr val="dk1"/>
              </a:solidFill>
              <a:effectLst/>
              <a:latin typeface="IPA Pゴシック" panose="020B0500000000000000" pitchFamily="50" charset="-128"/>
              <a:ea typeface="IPA Pゴシック" panose="020B0500000000000000" pitchFamily="50" charset="-128"/>
              <a:cs typeface="+mn-cs"/>
            </a:rPr>
            <a:t>④　③のプルダウンの設定は「脆弱性対策の適用判断」シートの</a:t>
          </a:r>
        </a:p>
        <a:p>
          <a:r>
            <a:rPr kumimoji="1" lang="ja-JP" altLang="en-US" sz="1100">
              <a:solidFill>
                <a:schemeClr val="dk1"/>
              </a:solidFill>
              <a:effectLst/>
              <a:latin typeface="IPA Pゴシック" panose="020B0500000000000000" pitchFamily="50" charset="-128"/>
              <a:ea typeface="IPA Pゴシック" panose="020B0500000000000000" pitchFamily="50" charset="-128"/>
              <a:cs typeface="+mn-cs"/>
            </a:rPr>
            <a:t>　</a:t>
          </a:r>
          <a:r>
            <a:rPr kumimoji="1" lang="en-US" altLang="ja-JP" sz="1100">
              <a:solidFill>
                <a:schemeClr val="dk1"/>
              </a:solidFill>
              <a:effectLst/>
              <a:latin typeface="IPA Pゴシック" panose="020B0500000000000000" pitchFamily="50" charset="-128"/>
              <a:ea typeface="IPA Pゴシック" panose="020B0500000000000000" pitchFamily="50" charset="-128"/>
              <a:cs typeface="+mn-cs"/>
            </a:rPr>
            <a:t>G</a:t>
          </a:r>
          <a:r>
            <a:rPr kumimoji="1" lang="ja-JP" altLang="en-US" sz="1100">
              <a:solidFill>
                <a:schemeClr val="dk1"/>
              </a:solidFill>
              <a:effectLst/>
              <a:latin typeface="IPA Pゴシック" panose="020B0500000000000000" pitchFamily="50" charset="-128"/>
              <a:ea typeface="IPA Pゴシック" panose="020B0500000000000000" pitchFamily="50" charset="-128"/>
              <a:cs typeface="+mn-cs"/>
            </a:rPr>
            <a:t>列（備考）を選択した状態で「データ」 タブの「データツー</a:t>
          </a:r>
        </a:p>
        <a:p>
          <a:r>
            <a:rPr kumimoji="1" lang="ja-JP" altLang="en-US" sz="1100">
              <a:solidFill>
                <a:schemeClr val="dk1"/>
              </a:solidFill>
              <a:effectLst/>
              <a:latin typeface="IPA Pゴシック" panose="020B0500000000000000" pitchFamily="50" charset="-128"/>
              <a:ea typeface="IPA Pゴシック" panose="020B0500000000000000" pitchFamily="50" charset="-128"/>
              <a:cs typeface="+mn-cs"/>
            </a:rPr>
            <a:t>　ル」</a:t>
          </a:r>
          <a:r>
            <a:rPr kumimoji="1" lang="en-US" altLang="ja-JP" sz="1100">
              <a:solidFill>
                <a:schemeClr val="dk1"/>
              </a:solidFill>
              <a:effectLst/>
              <a:latin typeface="IPA Pゴシック" panose="020B0500000000000000" pitchFamily="50" charset="-128"/>
              <a:ea typeface="IPA Pゴシック" panose="020B0500000000000000" pitchFamily="50" charset="-128"/>
              <a:cs typeface="+mn-cs"/>
            </a:rPr>
            <a:t>-</a:t>
          </a:r>
          <a:r>
            <a:rPr kumimoji="1" lang="ja-JP" altLang="en-US" sz="1100">
              <a:solidFill>
                <a:schemeClr val="dk1"/>
              </a:solidFill>
              <a:effectLst/>
              <a:latin typeface="IPA Pゴシック" panose="020B0500000000000000" pitchFamily="50" charset="-128"/>
              <a:ea typeface="IPA Pゴシック" panose="020B0500000000000000" pitchFamily="50" charset="-128"/>
              <a:cs typeface="+mn-cs"/>
            </a:rPr>
            <a:t>「データの入力規則」で確認できます。また、</a:t>
          </a:r>
          <a:r>
            <a:rPr kumimoji="1" lang="en-US" altLang="ja-JP" sz="1100">
              <a:solidFill>
                <a:schemeClr val="dk1"/>
              </a:solidFill>
              <a:effectLst/>
              <a:latin typeface="IPA Pゴシック" panose="020B0500000000000000" pitchFamily="50" charset="-128"/>
              <a:ea typeface="IPA Pゴシック" panose="020B0500000000000000" pitchFamily="50" charset="-128"/>
              <a:cs typeface="+mn-cs"/>
            </a:rPr>
            <a:t>G</a:t>
          </a:r>
          <a:r>
            <a:rPr kumimoji="1" lang="ja-JP" altLang="en-US" sz="1100">
              <a:solidFill>
                <a:schemeClr val="dk1"/>
              </a:solidFill>
              <a:effectLst/>
              <a:latin typeface="IPA Pゴシック" panose="020B0500000000000000" pitchFamily="50" charset="-128"/>
              <a:ea typeface="IPA Pゴシック" panose="020B0500000000000000" pitchFamily="50" charset="-128"/>
              <a:cs typeface="+mn-cs"/>
            </a:rPr>
            <a:t>列において</a:t>
          </a:r>
        </a:p>
        <a:p>
          <a:r>
            <a:rPr kumimoji="1" lang="ja-JP" altLang="en-US" sz="1100">
              <a:solidFill>
                <a:schemeClr val="dk1"/>
              </a:solidFill>
              <a:effectLst/>
              <a:latin typeface="IPA Pゴシック" panose="020B0500000000000000" pitchFamily="50" charset="-128"/>
              <a:ea typeface="IPA Pゴシック" panose="020B0500000000000000" pitchFamily="50" charset="-128"/>
              <a:cs typeface="+mn-cs"/>
            </a:rPr>
            <a:t>　手動での記入を行う際は、「データの入力規則」の「エラーメッ</a:t>
          </a:r>
        </a:p>
        <a:p>
          <a:r>
            <a:rPr kumimoji="1" lang="ja-JP" altLang="en-US" sz="1100">
              <a:solidFill>
                <a:schemeClr val="dk1"/>
              </a:solidFill>
              <a:effectLst/>
              <a:latin typeface="IPA Pゴシック" panose="020B0500000000000000" pitchFamily="50" charset="-128"/>
              <a:ea typeface="IPA Pゴシック" panose="020B0500000000000000" pitchFamily="50" charset="-128"/>
              <a:cs typeface="+mn-cs"/>
            </a:rPr>
            <a:t>　セージ」タブにある「無効なデータが入力されたらエラーメッセ</a:t>
          </a:r>
        </a:p>
        <a:p>
          <a:r>
            <a:rPr kumimoji="1" lang="ja-JP" altLang="en-US" sz="1100">
              <a:solidFill>
                <a:schemeClr val="dk1"/>
              </a:solidFill>
              <a:effectLst/>
              <a:latin typeface="IPA Pゴシック" panose="020B0500000000000000" pitchFamily="50" charset="-128"/>
              <a:ea typeface="IPA Pゴシック" panose="020B0500000000000000" pitchFamily="50" charset="-128"/>
              <a:cs typeface="+mn-cs"/>
            </a:rPr>
            <a:t>　ージを表示する」のチェックが外れていることを確認します。</a:t>
          </a:r>
        </a:p>
      </xdr:txBody>
    </xdr:sp>
    <xdr:clientData fLocksWithSheet="0" fPrintsWithSheet="0"/>
  </xdr:twoCellAnchor>
  <xdr:twoCellAnchor editAs="absolute">
    <xdr:from>
      <xdr:col>2</xdr:col>
      <xdr:colOff>114300</xdr:colOff>
      <xdr:row>15</xdr:row>
      <xdr:rowOff>38100</xdr:rowOff>
    </xdr:from>
    <xdr:to>
      <xdr:col>7</xdr:col>
      <xdr:colOff>790575</xdr:colOff>
      <xdr:row>17</xdr:row>
      <xdr:rowOff>66675</xdr:rowOff>
    </xdr:to>
    <xdr:sp macro="" textlink="">
      <xdr:nvSpPr>
        <xdr:cNvPr id="5" name="四角形: 角を丸くする 4">
          <a:extLst>
            <a:ext uri="{FF2B5EF4-FFF2-40B4-BE49-F238E27FC236}">
              <a16:creationId xmlns:a16="http://schemas.microsoft.com/office/drawing/2014/main" id="{679F3BDE-DFD1-4376-97D9-0D2FBC8E1B05}"/>
            </a:ext>
          </a:extLst>
        </xdr:cNvPr>
        <xdr:cNvSpPr>
          <a:spLocks noChangeAspect="1"/>
        </xdr:cNvSpPr>
      </xdr:nvSpPr>
      <xdr:spPr>
        <a:xfrm>
          <a:off x="5305425" y="3619500"/>
          <a:ext cx="4724400" cy="504825"/>
        </a:xfrm>
        <a:prstGeom prst="roundRect">
          <a:avLst>
            <a:gd name="adj" fmla="val 0"/>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100" b="0">
              <a:solidFill>
                <a:schemeClr val="dk1"/>
              </a:solidFill>
              <a:effectLst/>
              <a:latin typeface="IPA Pゴシック" panose="020B0500000000000000" pitchFamily="50" charset="-128"/>
              <a:ea typeface="IPA Pゴシック" panose="020B0500000000000000" pitchFamily="50" charset="-128"/>
              <a:cs typeface="+mn-cs"/>
            </a:rPr>
            <a:t>【</a:t>
          </a:r>
          <a:r>
            <a:rPr kumimoji="1" lang="ja-JP" altLang="en-US" sz="1100" b="0">
              <a:solidFill>
                <a:schemeClr val="dk1"/>
              </a:solidFill>
              <a:effectLst/>
              <a:latin typeface="IPA Pゴシック" panose="020B0500000000000000" pitchFamily="50" charset="-128"/>
              <a:ea typeface="IPA Pゴシック" panose="020B0500000000000000" pitchFamily="50" charset="-128"/>
              <a:cs typeface="+mn-cs"/>
            </a:rPr>
            <a:t>定期作業</a:t>
          </a:r>
          <a:r>
            <a:rPr kumimoji="1" lang="en-US" altLang="ja-JP" sz="1100" b="0">
              <a:solidFill>
                <a:schemeClr val="dk1"/>
              </a:solidFill>
              <a:effectLst/>
              <a:latin typeface="IPA Pゴシック" panose="020B0500000000000000" pitchFamily="50" charset="-128"/>
              <a:ea typeface="IPA Pゴシック" panose="020B0500000000000000" pitchFamily="50" charset="-128"/>
              <a:cs typeface="+mn-cs"/>
            </a:rPr>
            <a:t>】</a:t>
          </a:r>
        </a:p>
        <a:p>
          <a:r>
            <a:rPr kumimoji="1" lang="ja-JP" altLang="en-US" sz="1100" b="0">
              <a:solidFill>
                <a:schemeClr val="dk1"/>
              </a:solidFill>
              <a:effectLst/>
              <a:latin typeface="IPA Pゴシック" panose="020B0500000000000000" pitchFamily="50" charset="-128"/>
              <a:ea typeface="IPA Pゴシック" panose="020B0500000000000000" pitchFamily="50" charset="-128"/>
              <a:cs typeface="+mn-cs"/>
            </a:rPr>
            <a:t>編集しません。</a:t>
          </a:r>
          <a:endParaRPr lang="ja-JP" altLang="ja-JP" b="0">
            <a:effectLst/>
            <a:latin typeface="IPA Pゴシック" panose="020B0500000000000000" pitchFamily="50" charset="-128"/>
            <a:ea typeface="IPA Pゴシック" panose="020B0500000000000000" pitchFamily="50" charset="-128"/>
          </a:endParaRPr>
        </a:p>
      </xdr:txBody>
    </xdr:sp>
    <xdr:clientData fLocksWithSheet="0" fPrintsWithSheet="0"/>
  </xdr:twoCellAnchor>
</xdr:wsDr>
</file>

<file path=xl/drawings/drawing5.xml><?xml version="1.0" encoding="utf-8"?>
<xdr:wsDr xmlns:xdr="http://schemas.openxmlformats.org/drawingml/2006/spreadsheetDrawing" xmlns:a="http://schemas.openxmlformats.org/drawingml/2006/main">
  <xdr:twoCellAnchor editAs="absolute">
    <xdr:from>
      <xdr:col>6</xdr:col>
      <xdr:colOff>109764</xdr:colOff>
      <xdr:row>2</xdr:row>
      <xdr:rowOff>0</xdr:rowOff>
    </xdr:from>
    <xdr:to>
      <xdr:col>11</xdr:col>
      <xdr:colOff>762001</xdr:colOff>
      <xdr:row>13</xdr:row>
      <xdr:rowOff>625929</xdr:rowOff>
    </xdr:to>
    <xdr:sp macro="" textlink="">
      <xdr:nvSpPr>
        <xdr:cNvPr id="2" name="四角形: 角を丸くする 1">
          <a:extLst>
            <a:ext uri="{FF2B5EF4-FFF2-40B4-BE49-F238E27FC236}">
              <a16:creationId xmlns:a16="http://schemas.microsoft.com/office/drawing/2014/main" id="{28408AE1-2ED7-4585-9052-D2755AF7C187}"/>
            </a:ext>
          </a:extLst>
        </xdr:cNvPr>
        <xdr:cNvSpPr/>
      </xdr:nvSpPr>
      <xdr:spPr>
        <a:xfrm>
          <a:off x="13744121" y="473529"/>
          <a:ext cx="4734380" cy="9432471"/>
        </a:xfrm>
        <a:prstGeom prst="roundRect">
          <a:avLst>
            <a:gd name="adj" fmla="val 0"/>
          </a:avLst>
        </a:prstGeom>
        <a:solidFill>
          <a:schemeClr val="accent5">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初回作業</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対象ソフトウェアの把握</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①　</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B</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列（ソフトウェア）に、利用しているソフトウェアを記入し</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ます。</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B</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列のセルはリストになっているため、リストの中からソ</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フトウェアを選択するか、手動で記入します。（リストは「よく</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使われるソフトウェア一覧」シートの</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B</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列のデータが表示されま</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②　リストの設定は「データ」タブの「データツール」</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「データ</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の入力規則」で確認できます。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手動での記入を行う際、「データの入力規則」の「エラーメッセ</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ージ」タブにある「無効なデータが入力されたらエラーメッセー</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ジを表示する」のチェックが外れていることを確認します。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リスト以外のデータを入力するとエラー（データ入力規則のエラ</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ー）が表示されますが無視で構いません。</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バージョン情報の調査</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①　</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C</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列（現在利用しているバージョンの確認方法）に、ソフトウ</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ェアのバージョンが確認できるまでの手順を調べて記入します。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ソフトウェアをリストから選択した場合は、関数で自動的にデー</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タが表示されるため作業は不要です。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②　リスト以外のソフトウェアを記入した場合は、</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C</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列の関数を削</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除し、「よく使われるソフトウェア一覧」シートの</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C</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列を参考に</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手動で記入します。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③　</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D</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列（最新バージョンが確認可能なサイト）に、ソフトウェア</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のリリース情報等、最新バージョン情報が確認できるサイト等</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を調べて記入します。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ソフトウェアをリストから選択した場合は、関数で自動的にデー</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タが表示されるため作業は不要です。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④　リスト以外のソフトウェアを記入した場合は、</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D</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列の関数を削</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除し、「よく使われるソフトウェア一覧」シートの</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D</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列を参考に</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手動で記入します。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⑤　</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E</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列（最新バージョン提供サイト）に、ソフトウェアの最新バ</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ージョンを取得できるサイト等を調べて記入します。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ソフトウェアをリストから選択した場合は、関数で自動的にデー</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タが表示されるため作業は不要です。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⑥　リスト以外のソフトウェアを記入した場合は、</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E</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列の関数を削</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除し、「よく使われるソフトウェア一覧」シートの</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E</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列を参考に</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手動で記入します。</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製品ベンダサイト等の調査</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①　</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F</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列（製品ベンダサイト）に、ソフトウェアの脆弱性情報を取</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り扱うサイトを調べて記入します。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ソフトウェアをリストから選択した場合は、関数で自動的にデー</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タが表示されるため作業は不要です。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②　リスト以外のソフトウェアを記入した場合は、</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F</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列の関数を削</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除し、「よく使われるソフトウェア一覧」シートの</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F</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列を参考に</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手動で記入します。</a:t>
          </a:r>
        </a:p>
      </xdr:txBody>
    </xdr:sp>
    <xdr:clientData fPrintsWithSheet="0"/>
  </xdr:twoCellAnchor>
  <xdr:twoCellAnchor editAs="absolute">
    <xdr:from>
      <xdr:col>12</xdr:col>
      <xdr:colOff>54881</xdr:colOff>
      <xdr:row>1</xdr:row>
      <xdr:rowOff>220891</xdr:rowOff>
    </xdr:from>
    <xdr:to>
      <xdr:col>17</xdr:col>
      <xdr:colOff>752475</xdr:colOff>
      <xdr:row>4</xdr:row>
      <xdr:rowOff>349250</xdr:rowOff>
    </xdr:to>
    <xdr:sp macro="" textlink="">
      <xdr:nvSpPr>
        <xdr:cNvPr id="3" name="四角形: 角を丸くする 2">
          <a:extLst>
            <a:ext uri="{FF2B5EF4-FFF2-40B4-BE49-F238E27FC236}">
              <a16:creationId xmlns:a16="http://schemas.microsoft.com/office/drawing/2014/main" id="{9C2BCC44-5582-48EF-B163-55D2FD40E90F}"/>
            </a:ext>
          </a:extLst>
        </xdr:cNvPr>
        <xdr:cNvSpPr/>
      </xdr:nvSpPr>
      <xdr:spPr>
        <a:xfrm>
          <a:off x="18596881" y="464308"/>
          <a:ext cx="4772177" cy="1546525"/>
        </a:xfrm>
        <a:prstGeom prst="roundRect">
          <a:avLst>
            <a:gd name="adj" fmla="val 0"/>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定期作業</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対象ソフトウェアの再確認</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①　新しく利用し始めたソフトウェア、または利用しなくなったソ</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フトウェアがないか確認し、必要に応じて行を追加・削除します。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②　①でソフトウェアを削除した場合や表を昇順・降順で並び替え</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た場合、他シート（「バージョン情報の確認」シート等、手動で</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入力する場所）に影響が出るため適時修正します。</a:t>
          </a:r>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endParaRPr>
        </a:p>
      </xdr:txBody>
    </xdr:sp>
    <xdr:clientData fPrintsWithSheet="0"/>
  </xdr:twoCellAnchor>
  <xdr:twoCellAnchor editAs="absolute">
    <xdr:from>
      <xdr:col>18</xdr:col>
      <xdr:colOff>20409</xdr:colOff>
      <xdr:row>1</xdr:row>
      <xdr:rowOff>218016</xdr:rowOff>
    </xdr:from>
    <xdr:to>
      <xdr:col>23</xdr:col>
      <xdr:colOff>730251</xdr:colOff>
      <xdr:row>6</xdr:row>
      <xdr:rowOff>757765</xdr:rowOff>
    </xdr:to>
    <xdr:sp macro="" textlink="">
      <xdr:nvSpPr>
        <xdr:cNvPr id="5" name="四角形: 角を丸くする 4">
          <a:extLst>
            <a:ext uri="{FF2B5EF4-FFF2-40B4-BE49-F238E27FC236}">
              <a16:creationId xmlns:a16="http://schemas.microsoft.com/office/drawing/2014/main" id="{637500AE-33BF-433D-A1E1-8830CD94590E}"/>
            </a:ext>
          </a:extLst>
        </xdr:cNvPr>
        <xdr:cNvSpPr/>
      </xdr:nvSpPr>
      <xdr:spPr>
        <a:xfrm>
          <a:off x="23451909" y="461433"/>
          <a:ext cx="4784425" cy="3587749"/>
        </a:xfrm>
        <a:prstGeom prst="roundRect">
          <a:avLst>
            <a:gd name="adj" fmla="val 0"/>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関数作成例</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・関数が入力されたセルに誤入力等して関数を消してしまった場合に使います。</a:t>
          </a:r>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a:t>
          </a:r>
          <a:r>
            <a:rPr lang="ja-JP" altLang="ja-JP" sz="1100" b="0" baseline="0">
              <a:solidFill>
                <a:schemeClr val="dk1"/>
              </a:solidFill>
              <a:effectLst/>
              <a:latin typeface="IPA Pゴシック" panose="020B0500000000000000" pitchFamily="50" charset="-128"/>
              <a:ea typeface="IPA Pゴシック" panose="020B0500000000000000" pitchFamily="50" charset="-128"/>
              <a:cs typeface="+mn-cs"/>
            </a:rPr>
            <a:t>列：</a:t>
          </a:r>
          <a:endParaRPr lang="ja-JP" altLang="ja-JP">
            <a:effectLst/>
            <a:latin typeface="IPA Pゴシック" panose="020B0500000000000000" pitchFamily="50" charset="-128"/>
            <a:ea typeface="IPA Pゴシック" panose="020B0500000000000000" pitchFamily="50" charset="-128"/>
          </a:endParaRPr>
        </a:p>
        <a:p>
          <a:pPr eaLnBrk="1" fontAlgn="auto" latinLnBrk="0" hangingPunct="1"/>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=ROW()-3</a:t>
          </a:r>
        </a:p>
        <a:p>
          <a:pPr eaLnBrk="1" fontAlgn="auto" latinLnBrk="0" hangingPunct="1"/>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C</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a:t>
          </a:r>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=IFERROR(VLOOKUP($B4,</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テーブル</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1[[</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ソフトウェア</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製品ベンダサイト（セキュリティアドバイザリ等）</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]],2,0),"")</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D</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a:t>
          </a:r>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=HYPERLINK(IFERROR(VLOOKUP($B4,</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テーブル</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1[[</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ソフトウェア</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製品ベンダサイト（セキュリティアドバイザリ等）</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]],3,0),""))</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E</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a:t>
          </a:r>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=HYPERLINK(IFERROR(VLOOKUP($B4,</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テーブル</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1[[</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ソフトウェア</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製品ベンダサイト（セキュリティアドバイザリ等）</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]],4,0),""))</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F</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a:t>
          </a:r>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=HYPERLINK(IFERROR(VLOOKUP($B4,</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テーブル</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1[[</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ソフトウェア</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製品ベンダサイト（セキュリティアドバイザリ等）</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]],5,0),""))</a:t>
          </a:r>
        </a:p>
      </xdr:txBody>
    </xdr:sp>
    <xdr:clientData fPrintsWithSheet="0"/>
  </xdr:twoCellAnchor>
  <xdr:twoCellAnchor editAs="absolute">
    <xdr:from>
      <xdr:col>12</xdr:col>
      <xdr:colOff>46566</xdr:colOff>
      <xdr:row>4</xdr:row>
      <xdr:rowOff>468843</xdr:rowOff>
    </xdr:from>
    <xdr:to>
      <xdr:col>17</xdr:col>
      <xdr:colOff>731914</xdr:colOff>
      <xdr:row>12</xdr:row>
      <xdr:rowOff>901700</xdr:rowOff>
    </xdr:to>
    <xdr:sp macro="" textlink="">
      <xdr:nvSpPr>
        <xdr:cNvPr id="6" name="四角形: 角を丸くする 5">
          <a:extLst>
            <a:ext uri="{FF2B5EF4-FFF2-40B4-BE49-F238E27FC236}">
              <a16:creationId xmlns:a16="http://schemas.microsoft.com/office/drawing/2014/main" id="{A8066DED-0B8F-47A5-8A0D-2A2EA61E8B3D}"/>
            </a:ext>
          </a:extLst>
        </xdr:cNvPr>
        <xdr:cNvSpPr/>
      </xdr:nvSpPr>
      <xdr:spPr>
        <a:xfrm>
          <a:off x="18563166" y="2145243"/>
          <a:ext cx="4749348" cy="7113057"/>
        </a:xfrm>
        <a:prstGeom prst="roundRect">
          <a:avLst>
            <a:gd name="adj" fmla="val 0"/>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参考情報</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・行の高さを変更したい場合は、変更したい行を選択した状態で</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「ホーム」タブの「セル」</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「書式」で「行の高さ」または「行</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の高さの自動調整」を選択して変更します。 </a:t>
          </a:r>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・「利用しているソフトウェア一覧」シート</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B</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列（ソフトウェア）</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のプルダウンの内容を変更したい場合は、「よく使われるソフト</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ウェア一覧」シートのデータを変更（追加・削除）することで、</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その結果が自動反映されます。変更が完了したら、再度</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B</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列（ソ</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フトウェア）のプルダウンを開き、内容の変更が反映されてい</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ることを確認します。</a:t>
          </a:r>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プルダウンの自動反映の設定は、「データ」タブの「データツー</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ル」</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「データの入力規則」で確認できます。</a:t>
          </a:r>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eaLnBrk="1" fontAlgn="auto" latinLnBrk="0" hangingPunct="1"/>
          <a:r>
            <a:rPr lang="ja-JP"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PC</a:t>
          </a:r>
          <a:r>
            <a:rPr lang="ja-JP" altLang="ja-JP" sz="1100" b="0" baseline="0">
              <a:solidFill>
                <a:schemeClr val="dk1"/>
              </a:solidFill>
              <a:effectLst/>
              <a:latin typeface="IPA Pゴシック" panose="020B0500000000000000" pitchFamily="50" charset="-128"/>
              <a:ea typeface="IPA Pゴシック" panose="020B0500000000000000" pitchFamily="50" charset="-128"/>
              <a:cs typeface="+mn-cs"/>
            </a:rPr>
            <a:t>にインストールされているソフトウェアをリストで取得したい</a:t>
          </a:r>
          <a:endParaRPr lang="ja-JP" altLang="ja-JP">
            <a:effectLst/>
            <a:latin typeface="IPA Pゴシック" panose="020B0500000000000000" pitchFamily="50" charset="-128"/>
            <a:ea typeface="IPA Pゴシック" panose="020B0500000000000000" pitchFamily="50" charset="-128"/>
          </a:endParaRP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a:t>
          </a:r>
          <a:r>
            <a:rPr lang="ja-JP" altLang="ja-JP" sz="1100" b="0" baseline="0">
              <a:solidFill>
                <a:schemeClr val="dk1"/>
              </a:solidFill>
              <a:effectLst/>
              <a:latin typeface="IPA Pゴシック" panose="020B0500000000000000" pitchFamily="50" charset="-128"/>
              <a:ea typeface="IPA Pゴシック" panose="020B0500000000000000" pitchFamily="50" charset="-128"/>
              <a:cs typeface="+mn-cs"/>
            </a:rPr>
            <a:t>場合は以下のコマンド</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例</a:t>
          </a:r>
          <a:r>
            <a:rPr lang="ja-JP" altLang="ja-JP" sz="1100" b="0" baseline="0">
              <a:solidFill>
                <a:schemeClr val="dk1"/>
              </a:solidFill>
              <a:effectLst/>
              <a:latin typeface="IPA Pゴシック" panose="020B0500000000000000" pitchFamily="50" charset="-128"/>
              <a:ea typeface="IPA Pゴシック" panose="020B0500000000000000" pitchFamily="50" charset="-128"/>
              <a:cs typeface="+mn-cs"/>
            </a:rPr>
            <a:t>をコマンドプロンプトで実行</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するか</a:t>
          </a:r>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a:t>
          </a:r>
          <a:r>
            <a:rPr lang="ja-JP"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ja-JP" sz="1100" b="0" baseline="0">
              <a:solidFill>
                <a:schemeClr val="dk1"/>
              </a:solidFill>
              <a:effectLst/>
              <a:latin typeface="IPA Pゴシック" panose="020B0500000000000000" pitchFamily="50" charset="-128"/>
              <a:ea typeface="IPA Pゴシック" panose="020B0500000000000000" pitchFamily="50" charset="-128"/>
              <a:cs typeface="+mn-cs"/>
            </a:rPr>
            <a:t>環境によってはデータの過不足や差異が発生する事があ</a:t>
          </a:r>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a:t>
          </a:r>
          <a:r>
            <a:rPr lang="ja-JP" altLang="ja-JP" sz="1100" b="0" baseline="0">
              <a:solidFill>
                <a:schemeClr val="dk1"/>
              </a:solidFill>
              <a:effectLst/>
              <a:latin typeface="IPA Pゴシック" panose="020B0500000000000000" pitchFamily="50" charset="-128"/>
              <a:ea typeface="IPA Pゴシック" panose="020B0500000000000000" pitchFamily="50" charset="-128"/>
              <a:cs typeface="+mn-cs"/>
            </a:rPr>
            <a:t>ります。）、インストールされているソフトウェアの一覧の情報を</a:t>
          </a:r>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a:t>
          </a:r>
          <a:r>
            <a:rPr lang="ja-JP" altLang="ja-JP" sz="1100" b="0" baseline="0">
              <a:solidFill>
                <a:schemeClr val="dk1"/>
              </a:solidFill>
              <a:effectLst/>
              <a:latin typeface="IPA Pゴシック" panose="020B0500000000000000" pitchFamily="50" charset="-128"/>
              <a:ea typeface="IPA Pゴシック" panose="020B0500000000000000" pitchFamily="50" charset="-128"/>
              <a:cs typeface="+mn-cs"/>
            </a:rPr>
            <a:t>取得可能なツールを活用します。</a:t>
          </a:r>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eaLnBrk="1" fontAlgn="auto" latinLnBrk="0" hangingPunct="1"/>
          <a:endParaRPr lang="ja-JP" altLang="ja-JP">
            <a:effectLst/>
            <a:latin typeface="IPA Pゴシック" panose="020B0500000000000000" pitchFamily="50" charset="-128"/>
            <a:ea typeface="IPA Pゴシック" panose="020B0500000000000000" pitchFamily="50" charset="-128"/>
          </a:endParaRPr>
        </a:p>
        <a:p>
          <a:pPr eaLnBrk="1" fontAlgn="auto" latinLnBrk="0" hangingPunct="1"/>
          <a:r>
            <a:rPr lang="ja-JP"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Windows64bit</a:t>
          </a:r>
          <a:r>
            <a:rPr lang="ja-JP" altLang="ja-JP" sz="1100" b="0" baseline="0">
              <a:solidFill>
                <a:schemeClr val="dk1"/>
              </a:solidFill>
              <a:effectLst/>
              <a:latin typeface="IPA Pゴシック" panose="020B0500000000000000" pitchFamily="50" charset="-128"/>
              <a:ea typeface="IPA Pゴシック" panose="020B0500000000000000" pitchFamily="50" charset="-128"/>
              <a:cs typeface="+mn-cs"/>
            </a:rPr>
            <a:t>でのコマンド実行例</a:t>
          </a:r>
          <a:endParaRPr lang="ja-JP" altLang="ja-JP">
            <a:effectLst/>
            <a:latin typeface="IPA Pゴシック" panose="020B0500000000000000" pitchFamily="50" charset="-128"/>
            <a:ea typeface="IPA Pゴシック" panose="020B0500000000000000" pitchFamily="50" charset="-128"/>
          </a:endParaRPr>
        </a:p>
        <a:p>
          <a:pPr eaLnBrk="1" fontAlgn="auto" latinLnBrk="0" hangingPunct="1"/>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reg query "HKEY_LOCAL_MACHINE\Software\Microsoft\Windows\CurrentVersion\Uninstall" /s | find "DisplayName"</a:t>
          </a:r>
          <a:r>
            <a:rPr lang="ja-JP" altLang="ja-JP" sz="1100" b="0" baseline="0">
              <a:solidFill>
                <a:schemeClr val="dk1"/>
              </a:solidFill>
              <a:effectLst/>
              <a:latin typeface="IPA Pゴシック" panose="020B0500000000000000" pitchFamily="50" charset="-128"/>
              <a:ea typeface="IPA Pゴシック" panose="020B0500000000000000" pitchFamily="50" charset="-128"/>
              <a:cs typeface="+mn-cs"/>
            </a:rPr>
            <a:t> </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&gt; C:\Users\</a:t>
          </a:r>
          <a:r>
            <a:rPr lang="ja-JP" altLang="ja-JP" sz="1100" b="0" baseline="0">
              <a:solidFill>
                <a:schemeClr val="dk1"/>
              </a:solidFill>
              <a:effectLst/>
              <a:latin typeface="IPA Pゴシック" panose="020B0500000000000000" pitchFamily="50" charset="-128"/>
              <a:ea typeface="IPA Pゴシック" panose="020B0500000000000000" pitchFamily="50" charset="-128"/>
              <a:cs typeface="+mn-cs"/>
            </a:rPr>
            <a:t>（ユーザ名）</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\de</a:t>
          </a:r>
          <a:endParaRPr lang="ja-JP" altLang="ja-JP">
            <a:effectLst/>
            <a:latin typeface="IPA Pゴシック" panose="020B0500000000000000" pitchFamily="50" charset="-128"/>
            <a:ea typeface="IPA Pゴシック" panose="020B0500000000000000" pitchFamily="50" charset="-128"/>
          </a:endParaRPr>
        </a:p>
        <a:p>
          <a:pPr eaLnBrk="1" fontAlgn="auto" latinLnBrk="0" hangingPunct="1"/>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sktop\Software1.txt</a:t>
          </a:r>
        </a:p>
        <a:p>
          <a:pPr eaLnBrk="1" fontAlgn="auto" latinLnBrk="0" hangingPunct="1"/>
          <a:endParaRPr lang="ja-JP" altLang="ja-JP">
            <a:effectLst/>
            <a:latin typeface="IPA Pゴシック" panose="020B0500000000000000" pitchFamily="50" charset="-128"/>
            <a:ea typeface="IPA Pゴシック" panose="020B0500000000000000" pitchFamily="50" charset="-128"/>
          </a:endParaRPr>
        </a:p>
        <a:p>
          <a:pPr eaLnBrk="1" fontAlgn="auto" latinLnBrk="0" hangingPunct="1"/>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reg query "HKEY_CURRENT_USER\Software\Microsoft\Windows\CurrentVersion\Uninstall" /s | find "DisplayName" &gt; C:\Users\</a:t>
          </a:r>
          <a:r>
            <a:rPr lang="ja-JP" altLang="ja-JP" sz="1100" b="0" baseline="0">
              <a:solidFill>
                <a:schemeClr val="dk1"/>
              </a:solidFill>
              <a:effectLst/>
              <a:latin typeface="IPA Pゴシック" panose="020B0500000000000000" pitchFamily="50" charset="-128"/>
              <a:ea typeface="IPA Pゴシック" panose="020B0500000000000000" pitchFamily="50" charset="-128"/>
              <a:cs typeface="+mn-cs"/>
            </a:rPr>
            <a:t>（ユーザ名）</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\de</a:t>
          </a:r>
          <a:endParaRPr lang="ja-JP" altLang="ja-JP">
            <a:effectLst/>
            <a:latin typeface="IPA Pゴシック" panose="020B0500000000000000" pitchFamily="50" charset="-128"/>
            <a:ea typeface="IPA Pゴシック" panose="020B0500000000000000" pitchFamily="50" charset="-128"/>
          </a:endParaRPr>
        </a:p>
        <a:p>
          <a:pPr eaLnBrk="1" fontAlgn="auto" latinLnBrk="0" hangingPunct="1"/>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sktop\Software2.txt</a:t>
          </a:r>
        </a:p>
        <a:p>
          <a:pPr eaLnBrk="1" fontAlgn="auto" latinLnBrk="0" hangingPunct="1"/>
          <a:endParaRPr lang="ja-JP" altLang="ja-JP">
            <a:effectLst/>
            <a:latin typeface="IPA Pゴシック" panose="020B0500000000000000" pitchFamily="50" charset="-128"/>
            <a:ea typeface="IPA Pゴシック" panose="020B0500000000000000" pitchFamily="50" charset="-128"/>
          </a:endParaRPr>
        </a:p>
        <a:p>
          <a:pPr eaLnBrk="1" fontAlgn="auto" latinLnBrk="0" hangingPunct="1"/>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reg query "HKEY_LOCAL_MACHINE\SOFTWARE\Wow6432Node\Microsoft\Windows\CurrentVersion\Uninstall" /s | find "DisplayName" &gt; C:\Users\</a:t>
          </a:r>
          <a:r>
            <a:rPr lang="ja-JP" altLang="ja-JP" sz="1100" b="0" baseline="0">
              <a:solidFill>
                <a:schemeClr val="dk1"/>
              </a:solidFill>
              <a:effectLst/>
              <a:latin typeface="IPA Pゴシック" panose="020B0500000000000000" pitchFamily="50" charset="-128"/>
              <a:ea typeface="IPA Pゴシック" panose="020B0500000000000000" pitchFamily="50" charset="-128"/>
              <a:cs typeface="+mn-cs"/>
            </a:rPr>
            <a:t>（ユーザ名）</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\desktop\Software3.txt</a:t>
          </a:r>
          <a:endParaRPr lang="ja-JP" altLang="ja-JP">
            <a:effectLst/>
            <a:latin typeface="IPA Pゴシック" panose="020B0500000000000000" pitchFamily="50" charset="-128"/>
            <a:ea typeface="IPA Pゴシック" panose="020B05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absolute">
    <xdr:from>
      <xdr:col>7</xdr:col>
      <xdr:colOff>104775</xdr:colOff>
      <xdr:row>3</xdr:row>
      <xdr:rowOff>242209</xdr:rowOff>
    </xdr:from>
    <xdr:to>
      <xdr:col>12</xdr:col>
      <xdr:colOff>741588</xdr:colOff>
      <xdr:row>6</xdr:row>
      <xdr:rowOff>284390</xdr:rowOff>
    </xdr:to>
    <xdr:sp macro="" textlink="">
      <xdr:nvSpPr>
        <xdr:cNvPr id="3" name="四角形: 角を丸くする 2">
          <a:extLst>
            <a:ext uri="{FF2B5EF4-FFF2-40B4-BE49-F238E27FC236}">
              <a16:creationId xmlns:a16="http://schemas.microsoft.com/office/drawing/2014/main" id="{7CC9ADB7-E02F-4340-8113-BC740399DBB2}"/>
            </a:ext>
          </a:extLst>
        </xdr:cNvPr>
        <xdr:cNvSpPr/>
      </xdr:nvSpPr>
      <xdr:spPr>
        <a:xfrm>
          <a:off x="13875204" y="1099459"/>
          <a:ext cx="4718955" cy="2328181"/>
        </a:xfrm>
        <a:prstGeom prst="roundRect">
          <a:avLst>
            <a:gd name="adj" fmla="val 0"/>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eaLnBrk="1" fontAlgn="auto" latinLnBrk="0" hangingPunct="1"/>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定期作業</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p>
        <a:p>
          <a:pPr eaLnBrk="1" fontAlgn="auto" latinLnBrk="0" hangingPunct="1"/>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バージョン情報の確認</a:t>
          </a: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①　</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C</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列（現在利用しているバージョンの確認方法）を参照して、</a:t>
          </a: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D</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列（利用しているバージョン）に、現在利用しているソフトウ</a:t>
          </a: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ェアのバージョンを記入します。</a:t>
          </a: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②　</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E</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列（最新バージョンが確認できるサイト）を参照して、</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F</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a:t>
          </a: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（最新バージョン）に、ソフトウェアの最新バージョンを記入し</a:t>
          </a: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ます。</a:t>
          </a: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③　②で最新バージョンが公表されていた場合は、</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G</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列（最新バー</a:t>
          </a: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ジョンの公表日）に、最新バージョンが公表された日付を記入し</a:t>
          </a: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ます。</a:t>
          </a:r>
        </a:p>
      </xdr:txBody>
    </xdr:sp>
    <xdr:clientData fPrintsWithSheet="0"/>
  </xdr:twoCellAnchor>
  <xdr:twoCellAnchor editAs="absolute">
    <xdr:from>
      <xdr:col>7</xdr:col>
      <xdr:colOff>104773</xdr:colOff>
      <xdr:row>9</xdr:row>
      <xdr:rowOff>574222</xdr:rowOff>
    </xdr:from>
    <xdr:to>
      <xdr:col>12</xdr:col>
      <xdr:colOff>740229</xdr:colOff>
      <xdr:row>12</xdr:row>
      <xdr:rowOff>561975</xdr:rowOff>
    </xdr:to>
    <xdr:sp macro="" textlink="">
      <xdr:nvSpPr>
        <xdr:cNvPr id="5" name="四角形: 角を丸くする 4">
          <a:extLst>
            <a:ext uri="{FF2B5EF4-FFF2-40B4-BE49-F238E27FC236}">
              <a16:creationId xmlns:a16="http://schemas.microsoft.com/office/drawing/2014/main" id="{954053C8-BF76-4B5C-B52B-590963863275}"/>
            </a:ext>
          </a:extLst>
        </xdr:cNvPr>
        <xdr:cNvSpPr/>
      </xdr:nvSpPr>
      <xdr:spPr>
        <a:xfrm>
          <a:off x="13858873" y="5793922"/>
          <a:ext cx="4683581" cy="2902403"/>
        </a:xfrm>
        <a:prstGeom prst="roundRect">
          <a:avLst>
            <a:gd name="adj" fmla="val 0"/>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関数作成例</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・関数が入力されたセルに誤入力等して関数を消してしまった場合に使います。</a:t>
          </a: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eaLnBrk="1" fontAlgn="auto" latinLnBrk="0" hangingPunct="1"/>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a:t>
          </a:r>
          <a:r>
            <a:rPr lang="ja-JP" altLang="ja-JP" sz="1100" b="0" baseline="0">
              <a:solidFill>
                <a:schemeClr val="dk1"/>
              </a:solidFill>
              <a:effectLst/>
              <a:latin typeface="IPA Pゴシック" panose="020B0500000000000000" pitchFamily="50" charset="-128"/>
              <a:ea typeface="IPA Pゴシック" panose="020B0500000000000000" pitchFamily="50" charset="-128"/>
              <a:cs typeface="+mn-cs"/>
            </a:rPr>
            <a:t>列：</a:t>
          </a:r>
          <a:endParaRPr lang="ja-JP" altLang="ja-JP">
            <a:effectLst/>
            <a:latin typeface="IPA Pゴシック" panose="020B0500000000000000" pitchFamily="50" charset="-128"/>
            <a:ea typeface="IPA Pゴシック" panose="020B0500000000000000" pitchFamily="50" charset="-128"/>
          </a:endParaRPr>
        </a:p>
        <a:p>
          <a:pPr eaLnBrk="1" fontAlgn="auto" latinLnBrk="0" hangingPunct="1"/>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=ROW()-3</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B</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a:t>
          </a:r>
          <a:r>
            <a:rPr lang="ja-JP"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=VLOOKUP($A4,</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テーブル</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11,2)&amp;""</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C</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a:t>
          </a:r>
          <a:r>
            <a:rPr lang="ja-JP"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endParaRPr lang="ja-JP" altLang="ja-JP">
            <a:effectLst/>
            <a:latin typeface="IPA Pゴシック" panose="020B0500000000000000" pitchFamily="50" charset="-128"/>
            <a:ea typeface="IPA Pゴシック" panose="020B05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=IFERROR(VLOOKUP($B4,</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テーブル</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11[[</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ソフトウェア</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製品ベンダサイト（セキュリティアドバイザリ等）</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]],2,0),"")</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E</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a:t>
          </a:r>
          <a:r>
            <a:rPr lang="ja-JP"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=HYPERLINK(IFERROR(VLOOKUP($B4,</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テーブル</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11[[</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ソフトウェア</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製品ベンダサイト（セキュリティアドバイザリ等）</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]],3,0),""))</a:t>
          </a:r>
        </a:p>
      </xdr:txBody>
    </xdr:sp>
    <xdr:clientData fPrintsWithSheet="0"/>
  </xdr:twoCellAnchor>
  <xdr:twoCellAnchor editAs="absolute">
    <xdr:from>
      <xdr:col>7</xdr:col>
      <xdr:colOff>104775</xdr:colOff>
      <xdr:row>1</xdr:row>
      <xdr:rowOff>228600</xdr:rowOff>
    </xdr:from>
    <xdr:to>
      <xdr:col>12</xdr:col>
      <xdr:colOff>741589</xdr:colOff>
      <xdr:row>3</xdr:row>
      <xdr:rowOff>133350</xdr:rowOff>
    </xdr:to>
    <xdr:sp macro="" textlink="">
      <xdr:nvSpPr>
        <xdr:cNvPr id="7" name="四角形: 角を丸くする 6">
          <a:extLst>
            <a:ext uri="{FF2B5EF4-FFF2-40B4-BE49-F238E27FC236}">
              <a16:creationId xmlns:a16="http://schemas.microsoft.com/office/drawing/2014/main" id="{7BD34A91-3A16-4EF6-B713-2532B67AEFC9}"/>
            </a:ext>
          </a:extLst>
        </xdr:cNvPr>
        <xdr:cNvSpPr>
          <a:spLocks noChangeAspect="1"/>
        </xdr:cNvSpPr>
      </xdr:nvSpPr>
      <xdr:spPr>
        <a:xfrm>
          <a:off x="13858875" y="476250"/>
          <a:ext cx="4684939" cy="504825"/>
        </a:xfrm>
        <a:prstGeom prst="roundRect">
          <a:avLst>
            <a:gd name="adj" fmla="val 0"/>
          </a:avLst>
        </a:prstGeom>
        <a:solidFill>
          <a:schemeClr val="accent5">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100" b="0">
              <a:solidFill>
                <a:schemeClr val="dk1"/>
              </a:solidFill>
              <a:effectLst/>
              <a:latin typeface="IPA Pゴシック" panose="020B0500000000000000" pitchFamily="50" charset="-128"/>
              <a:ea typeface="IPA Pゴシック" panose="020B0500000000000000" pitchFamily="50" charset="-128"/>
              <a:cs typeface="+mn-cs"/>
            </a:rPr>
            <a:t>【</a:t>
          </a:r>
          <a:r>
            <a:rPr kumimoji="1" lang="ja-JP" altLang="en-US" sz="1100" b="0">
              <a:solidFill>
                <a:schemeClr val="dk1"/>
              </a:solidFill>
              <a:effectLst/>
              <a:latin typeface="IPA Pゴシック" panose="020B0500000000000000" pitchFamily="50" charset="-128"/>
              <a:ea typeface="IPA Pゴシック" panose="020B0500000000000000" pitchFamily="50" charset="-128"/>
              <a:cs typeface="+mn-cs"/>
            </a:rPr>
            <a:t>初回作業</a:t>
          </a:r>
          <a:r>
            <a:rPr kumimoji="1" lang="en-US" altLang="ja-JP" sz="1100" b="0">
              <a:solidFill>
                <a:schemeClr val="dk1"/>
              </a:solidFill>
              <a:effectLst/>
              <a:latin typeface="IPA Pゴシック" panose="020B0500000000000000" pitchFamily="50" charset="-128"/>
              <a:ea typeface="IPA Pゴシック" panose="020B0500000000000000" pitchFamily="50" charset="-128"/>
              <a:cs typeface="+mn-cs"/>
            </a:rPr>
            <a:t>】</a:t>
          </a:r>
        </a:p>
        <a:p>
          <a:r>
            <a:rPr kumimoji="1" lang="ja-JP" altLang="en-US" sz="1100" b="0">
              <a:solidFill>
                <a:schemeClr val="dk1"/>
              </a:solidFill>
              <a:effectLst/>
              <a:latin typeface="IPA Pゴシック" panose="020B0500000000000000" pitchFamily="50" charset="-128"/>
              <a:ea typeface="IPA Pゴシック" panose="020B0500000000000000" pitchFamily="50" charset="-128"/>
              <a:cs typeface="+mn-cs"/>
            </a:rPr>
            <a:t>編集しません。</a:t>
          </a:r>
        </a:p>
      </xdr:txBody>
    </xdr:sp>
    <xdr:clientData fLocksWithSheet="0" fPrintsWithSheet="0"/>
  </xdr:twoCellAnchor>
  <xdr:twoCellAnchor editAs="absolute">
    <xdr:from>
      <xdr:col>7</xdr:col>
      <xdr:colOff>104775</xdr:colOff>
      <xdr:row>6</xdr:row>
      <xdr:rowOff>381000</xdr:rowOff>
    </xdr:from>
    <xdr:to>
      <xdr:col>12</xdr:col>
      <xdr:colOff>750662</xdr:colOff>
      <xdr:row>9</xdr:row>
      <xdr:rowOff>495300</xdr:rowOff>
    </xdr:to>
    <xdr:sp macro="" textlink="">
      <xdr:nvSpPr>
        <xdr:cNvPr id="8" name="四角形: 角を丸くする 7">
          <a:extLst>
            <a:ext uri="{FF2B5EF4-FFF2-40B4-BE49-F238E27FC236}">
              <a16:creationId xmlns:a16="http://schemas.microsoft.com/office/drawing/2014/main" id="{9E0EB57A-9B63-489D-BCE8-D2DAB4B6CCD2}"/>
            </a:ext>
          </a:extLst>
        </xdr:cNvPr>
        <xdr:cNvSpPr/>
      </xdr:nvSpPr>
      <xdr:spPr>
        <a:xfrm>
          <a:off x="13858875" y="3495675"/>
          <a:ext cx="4694012" cy="2219325"/>
        </a:xfrm>
        <a:prstGeom prst="roundRect">
          <a:avLst>
            <a:gd name="adj" fmla="val 0"/>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参考情報</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・行の高さを変更したい場合は、変更したい行を選択した状態で</a:t>
          </a: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「ホーム」タブの「セル」</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「書式」で「行の高さ」または「行</a:t>
          </a: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の高さの自動調整」を選択して変更できます。 </a:t>
          </a:r>
        </a:p>
        <a:p>
          <a:pPr eaLnBrk="1" fontAlgn="auto" latinLnBrk="0" hangingPunct="1"/>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・主要なソフトウェアのサポート終了予定日は以下で確認できます。</a:t>
          </a:r>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eaLnBrk="1" fontAlgn="auto" latinLnBrk="0" hangingPunct="1"/>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CISA</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End-of-Support Software Report List</a:t>
          </a:r>
        </a:p>
        <a:p>
          <a:pPr eaLnBrk="1" fontAlgn="auto" latinLnBrk="0" hangingPunct="1"/>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https://www.cisecurity.org/blog/end-of-support-software-report-list-2/</a:t>
          </a:r>
        </a:p>
        <a:p>
          <a:pPr eaLnBrk="1" fontAlgn="auto" latinLnBrk="0" hangingPunct="1"/>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eaLnBrk="1" fontAlgn="auto" latinLnBrk="0" hangingPunct="1"/>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eaLnBrk="1" fontAlgn="auto" latinLnBrk="0" hangingPunct="1"/>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eaLnBrk="1" fontAlgn="auto" latinLnBrk="0" hangingPunct="1"/>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eaLnBrk="1" fontAlgn="auto" latinLnBrk="0" hangingPunct="1"/>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eaLnBrk="1" fontAlgn="auto" latinLnBrk="0" hangingPunct="1"/>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absolute">
    <xdr:from>
      <xdr:col>14</xdr:col>
      <xdr:colOff>103416</xdr:colOff>
      <xdr:row>1</xdr:row>
      <xdr:rowOff>169636</xdr:rowOff>
    </xdr:from>
    <xdr:to>
      <xdr:col>19</xdr:col>
      <xdr:colOff>760639</xdr:colOff>
      <xdr:row>10</xdr:row>
      <xdr:rowOff>247650</xdr:rowOff>
    </xdr:to>
    <xdr:sp macro="" textlink="">
      <xdr:nvSpPr>
        <xdr:cNvPr id="2" name="四角形: 角を丸くする 1">
          <a:extLst>
            <a:ext uri="{FF2B5EF4-FFF2-40B4-BE49-F238E27FC236}">
              <a16:creationId xmlns:a16="http://schemas.microsoft.com/office/drawing/2014/main" id="{A370CAB1-170D-4148-8AA4-A6599373CBD1}"/>
            </a:ext>
          </a:extLst>
        </xdr:cNvPr>
        <xdr:cNvSpPr>
          <a:spLocks noChangeAspect="1"/>
        </xdr:cNvSpPr>
      </xdr:nvSpPr>
      <xdr:spPr>
        <a:xfrm>
          <a:off x="16178895" y="417286"/>
          <a:ext cx="4699905" cy="2735489"/>
        </a:xfrm>
        <a:prstGeom prst="roundRect">
          <a:avLst>
            <a:gd name="adj" fmla="val 0"/>
          </a:avLst>
        </a:prstGeom>
        <a:solidFill>
          <a:schemeClr val="accent5">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初回作業</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情報収集先の選定</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①　</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L</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N</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列にある各表の、</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M</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列に情報収集先サイトの名称を記入</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し、</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N</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列にそのサイトの</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URL</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を記入します。</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M</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列のセルはリストに</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なっているため、その中から情報収集先サイトを選択するか手動</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で記入します。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リストは「よく使われる収集先一覧」シートの</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B</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列のデータが表</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示されます。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②　リストの設定は「データ」 タブの「データツール」</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「データ</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の入力規則」で変更できます。また、手動での記入を行う際、</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「データの入力規則」の「エラーメッセージ」タブにある「無効</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なデータが入力されたらエラーメッセージを表示する」のチェッ</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クが外れていることを確認します。</a:t>
          </a:r>
        </a:p>
      </xdr:txBody>
    </xdr:sp>
    <xdr:clientData fLocksWithSheet="0" fPrintsWithSheet="0"/>
  </xdr:twoCellAnchor>
  <xdr:twoCellAnchor editAs="absolute">
    <xdr:from>
      <xdr:col>14</xdr:col>
      <xdr:colOff>101597</xdr:colOff>
      <xdr:row>11</xdr:row>
      <xdr:rowOff>57602</xdr:rowOff>
    </xdr:from>
    <xdr:to>
      <xdr:col>19</xdr:col>
      <xdr:colOff>770164</xdr:colOff>
      <xdr:row>28</xdr:row>
      <xdr:rowOff>238125</xdr:rowOff>
    </xdr:to>
    <xdr:sp macro="" textlink="">
      <xdr:nvSpPr>
        <xdr:cNvPr id="3" name="四角形: 角を丸くする 2">
          <a:extLst>
            <a:ext uri="{FF2B5EF4-FFF2-40B4-BE49-F238E27FC236}">
              <a16:creationId xmlns:a16="http://schemas.microsoft.com/office/drawing/2014/main" id="{D5EA2CE9-CCA5-4491-8ACC-3134DD37F485}"/>
            </a:ext>
          </a:extLst>
        </xdr:cNvPr>
        <xdr:cNvSpPr>
          <a:spLocks noChangeAspect="1"/>
        </xdr:cNvSpPr>
      </xdr:nvSpPr>
      <xdr:spPr>
        <a:xfrm>
          <a:off x="16177076" y="3248477"/>
          <a:ext cx="4711249" cy="5038273"/>
        </a:xfrm>
        <a:prstGeom prst="roundRect">
          <a:avLst>
            <a:gd name="adj" fmla="val 0"/>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eaLnBrk="1" fontAlgn="auto" latinLnBrk="0" hangingPunct="1"/>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定期作業</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p>
        <a:p>
          <a:pPr eaLnBrk="1" fontAlgn="auto" latinLnBrk="0" hangingPunct="1"/>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脆弱性関連情報の確認</a:t>
          </a: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①　前回の収集結果を削除するため</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D</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H</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列のデータを削除します。</a:t>
          </a: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②　「バージョン情報の確認」シートの</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D</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列（現バージョン）と</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F</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a:t>
          </a: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（最新バージョン）のデータが異なる（最新バージョンを利用し</a:t>
          </a: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ていない）場合に黄で塗りつぶします。</a:t>
          </a: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自動で黄に塗りつぶす設定は「ホーム」タブの「条件付き書式」</a:t>
          </a: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「ルールの管理」で変更します。</a:t>
          </a: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③　</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C</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列（製品ベンダサイト）を参照して、脆弱性情報が公表され</a:t>
          </a: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ていないか確認します。公表されていなければ次のソフトウェア</a:t>
          </a: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の製品ベンダサイトを確認します。</a:t>
          </a: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④　脆弱性情報が公表されていた場合は、その</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URL</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を</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D</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H</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列の</a:t>
          </a:r>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セル</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1</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つに対し、</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URL</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を</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1</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つだけ記入します。</a:t>
          </a: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収集情報</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1</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に記載した</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URL</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を「脆弱性対策の適用判断」の</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D</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a:t>
          </a: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（脆弱性情報参考</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URL</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）に表示するため、より重要度の高い</a:t>
          </a: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情報を収集情報</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1</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に記載するようにします。</a:t>
          </a: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⑤　</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L</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N</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列にある各表のサイトにアクセスし、利用しているソフ</a:t>
          </a: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トウェアに影響する脆弱性関連情報が公表されていないか確認し</a:t>
          </a: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ます。公表されていなければ次の行または表のサイトを確認しま</a:t>
          </a: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す。</a:t>
          </a: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⑥　脆弱性関連情報が公表されていた場合は、その</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URL</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を</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D</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H</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a:t>
          </a: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のセル</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1</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つに対し、</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URL</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を</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1</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つだけ記入します。</a:t>
          </a: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収集情報</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1</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に記載した</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URL</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を「脆弱性対策の適用判断」の</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D</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a:t>
          </a: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（脆弱性情報参考</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URL</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）に表示するため、より重要度の高い</a:t>
          </a: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情報を収集情報</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1</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に記載するようにします。</a:t>
          </a:r>
        </a:p>
      </xdr:txBody>
    </xdr:sp>
    <xdr:clientData fLocksWithSheet="0" fPrintsWithSheet="0"/>
  </xdr:twoCellAnchor>
  <xdr:twoCellAnchor editAs="absolute">
    <xdr:from>
      <xdr:col>20</xdr:col>
      <xdr:colOff>58511</xdr:colOff>
      <xdr:row>7</xdr:row>
      <xdr:rowOff>210908</xdr:rowOff>
    </xdr:from>
    <xdr:to>
      <xdr:col>25</xdr:col>
      <xdr:colOff>741589</xdr:colOff>
      <xdr:row>22</xdr:row>
      <xdr:rowOff>133349</xdr:rowOff>
    </xdr:to>
    <xdr:sp macro="" textlink="">
      <xdr:nvSpPr>
        <xdr:cNvPr id="5" name="四角形: 角を丸くする 4">
          <a:extLst>
            <a:ext uri="{FF2B5EF4-FFF2-40B4-BE49-F238E27FC236}">
              <a16:creationId xmlns:a16="http://schemas.microsoft.com/office/drawing/2014/main" id="{72D646B5-3D53-4A51-950F-74F8E8226B23}"/>
            </a:ext>
          </a:extLst>
        </xdr:cNvPr>
        <xdr:cNvSpPr>
          <a:spLocks noChangeAspect="1"/>
        </xdr:cNvSpPr>
      </xdr:nvSpPr>
      <xdr:spPr>
        <a:xfrm>
          <a:off x="20979493" y="2258783"/>
          <a:ext cx="4738007" cy="4208691"/>
        </a:xfrm>
        <a:prstGeom prst="roundRect">
          <a:avLst>
            <a:gd name="adj" fmla="val 0"/>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関数作成例</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・関数が入力されたセルに誤入力等して関数を消してしまった場合に使います。</a:t>
          </a: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a:t>
          </a:r>
          <a:r>
            <a:rPr lang="ja-JP"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=ROW()-3</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B</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a:t>
          </a:r>
          <a:r>
            <a:rPr lang="ja-JP"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=VLOOKUP($A4,</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テーブル</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11,2)&amp;""</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C</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a:t>
          </a:r>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=HYPERLINK(IFERROR(VLOOKUP($B4,</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テーブル</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11[[</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ソフトウェア</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製品ベンダサイト（セキュリティアドバイザリ等）</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]],5,0),""))</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I</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a:t>
          </a:r>
          <a:r>
            <a:rPr lang="ja-JP"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（収集情報</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1</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5</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に</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URL</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を記入した場合に「○」を表示します。）</a:t>
          </a:r>
          <a:endParaRPr lang="ja-JP" altLang="ja-JP">
            <a:effectLst/>
            <a:latin typeface="IPA Pゴシック" panose="020B0500000000000000" pitchFamily="50" charset="-128"/>
            <a:ea typeface="IPA Pゴシック" panose="020B05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=IF(COUNTIF(</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テーブル</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13[@[</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収集情報</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1]:[</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収集情報</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5]],"http*"),"○","")&amp;""</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J</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a:t>
          </a:r>
          <a:r>
            <a:rPr lang="ja-JP"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（ソフトウェアの更新や脆弱性関連情報がある場合に「○」を表示します。）</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=@IFERROR(IFS(VLOOKUP($B4,</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バージョン情報の確認</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!$B$4:$G$1048576,3,0)&lt;&gt;VLOOKUP($B4,</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バージョン情報の確認</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!$B$4:$G$1048576,5,0),"○",VLOOKUP($B4,</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脆弱性の影響度確認</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!$B$6:$K$1048576,3,0)="</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〇</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影響を受ける</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N</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a:t>
          </a:r>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chemeClr val="dk1"/>
              </a:solidFill>
              <a:effectLst/>
              <a:latin typeface="IPA Pゴシック" panose="020B0500000000000000" pitchFamily="50" charset="-128"/>
              <a:ea typeface="IPA Pゴシック" panose="020B0500000000000000" pitchFamily="50" charset="-128"/>
              <a:cs typeface="+mn-cs"/>
            </a:rPr>
            <a:t>=HYPERLINK(IFERROR(VLOOKUP($M4,</a:t>
          </a:r>
          <a:r>
            <a:rPr lang="ja-JP" altLang="en-US" sz="1100" b="0" i="0" u="none" strike="noStrike">
              <a:solidFill>
                <a:schemeClr val="dk1"/>
              </a:solidFill>
              <a:effectLst/>
              <a:latin typeface="IPA Pゴシック" panose="020B0500000000000000" pitchFamily="50" charset="-128"/>
              <a:ea typeface="IPA Pゴシック" panose="020B0500000000000000" pitchFamily="50" charset="-128"/>
              <a:cs typeface="+mn-cs"/>
            </a:rPr>
            <a:t>よく使われる収集先一覧</a:t>
          </a:r>
          <a:r>
            <a:rPr lang="en-US" altLang="ja-JP" sz="1100" b="0" i="0" u="none" strike="noStrike">
              <a:solidFill>
                <a:schemeClr val="dk1"/>
              </a:solidFill>
              <a:effectLst/>
              <a:latin typeface="IPA Pゴシック" panose="020B0500000000000000" pitchFamily="50" charset="-128"/>
              <a:ea typeface="IPA Pゴシック" panose="020B0500000000000000" pitchFamily="50" charset="-128"/>
              <a:cs typeface="+mn-cs"/>
            </a:rPr>
            <a:t>!$B$4:$C$18,2,0),""))</a:t>
          </a:r>
          <a:endParaRPr lang="en-US" altLang="ja-JP" sz="1100" b="0" u="none" baseline="0">
            <a:solidFill>
              <a:schemeClr val="dk1"/>
            </a:solidFill>
            <a:effectLst/>
            <a:latin typeface="IPA Pゴシック" panose="020B0500000000000000" pitchFamily="50" charset="-128"/>
            <a:ea typeface="IPA Pゴシック" panose="020B0500000000000000" pitchFamily="50" charset="-128"/>
            <a:cs typeface="+mn-cs"/>
          </a:endParaRPr>
        </a:p>
      </xdr:txBody>
    </xdr:sp>
    <xdr:clientData fLocksWithSheet="0" fPrintsWithSheet="0"/>
  </xdr:twoCellAnchor>
  <xdr:twoCellAnchor editAs="absolute">
    <xdr:from>
      <xdr:col>20</xdr:col>
      <xdr:colOff>62593</xdr:colOff>
      <xdr:row>1</xdr:row>
      <xdr:rowOff>161925</xdr:rowOff>
    </xdr:from>
    <xdr:to>
      <xdr:col>25</xdr:col>
      <xdr:colOff>741589</xdr:colOff>
      <xdr:row>7</xdr:row>
      <xdr:rowOff>85725</xdr:rowOff>
    </xdr:to>
    <xdr:sp macro="" textlink="">
      <xdr:nvSpPr>
        <xdr:cNvPr id="6" name="四角形: 角を丸くする 5">
          <a:extLst>
            <a:ext uri="{FF2B5EF4-FFF2-40B4-BE49-F238E27FC236}">
              <a16:creationId xmlns:a16="http://schemas.microsoft.com/office/drawing/2014/main" id="{D77F6B95-1015-4CA9-B5DE-CA529AFB6784}"/>
            </a:ext>
          </a:extLst>
        </xdr:cNvPr>
        <xdr:cNvSpPr>
          <a:spLocks noChangeAspect="1"/>
        </xdr:cNvSpPr>
      </xdr:nvSpPr>
      <xdr:spPr>
        <a:xfrm>
          <a:off x="20983575" y="409575"/>
          <a:ext cx="4733925" cy="1724025"/>
        </a:xfrm>
        <a:prstGeom prst="roundRect">
          <a:avLst>
            <a:gd name="adj" fmla="val 0"/>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参考情報</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・「脆弱性関連情報データベース</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JVN iPedia</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」で利用しているソフ</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トウェアの脆弱性情報を収集する場合、以下のツールを利用する</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ことで効率的に情報を収集できます。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MyJVN </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脆弱性対策情報フィルタリング収集ツール </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略称：</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mjcheck3)</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https://jvndb.jvn.jp/apis/myjvn/mjcheck3.htm</a:t>
          </a:r>
        </a:p>
      </xdr:txBody>
    </xdr:sp>
    <xdr:clientData fLocksWithSheet="0" fPrintsWithSheet="0"/>
  </xdr:twoCellAnchor>
</xdr:wsDr>
</file>

<file path=xl/drawings/drawing8.xml><?xml version="1.0" encoding="utf-8"?>
<xdr:wsDr xmlns:xdr="http://schemas.openxmlformats.org/drawingml/2006/spreadsheetDrawing" xmlns:a="http://schemas.openxmlformats.org/drawingml/2006/main">
  <xdr:twoCellAnchor editAs="absolute">
    <xdr:from>
      <xdr:col>16</xdr:col>
      <xdr:colOff>140610</xdr:colOff>
      <xdr:row>5</xdr:row>
      <xdr:rowOff>87086</xdr:rowOff>
    </xdr:from>
    <xdr:to>
      <xdr:col>22</xdr:col>
      <xdr:colOff>9526</xdr:colOff>
      <xdr:row>29</xdr:row>
      <xdr:rowOff>12700</xdr:rowOff>
    </xdr:to>
    <xdr:sp macro="" textlink="">
      <xdr:nvSpPr>
        <xdr:cNvPr id="2" name="四角形: 角を丸くする 1">
          <a:extLst>
            <a:ext uri="{FF2B5EF4-FFF2-40B4-BE49-F238E27FC236}">
              <a16:creationId xmlns:a16="http://schemas.microsoft.com/office/drawing/2014/main" id="{1ACEC70A-0A87-4785-B060-C9A1D4D20C14}"/>
            </a:ext>
          </a:extLst>
        </xdr:cNvPr>
        <xdr:cNvSpPr>
          <a:spLocks noChangeAspect="1"/>
        </xdr:cNvSpPr>
      </xdr:nvSpPr>
      <xdr:spPr>
        <a:xfrm>
          <a:off x="17904735" y="1525361"/>
          <a:ext cx="4726666" cy="5869214"/>
        </a:xfrm>
        <a:prstGeom prst="roundRect">
          <a:avLst>
            <a:gd name="adj" fmla="val 0"/>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定期作業</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脆弱性の影響度の確認</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①　前回の収集結果を削除するため</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D</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J</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列のデータをすべて削除</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②　</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C</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列に、「脆弱性関連情報の確認」シートで脆弱性関連情</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報を確認したソフトウェアの項番、ソフトウェアの名称、利用し</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ているバージョンが自動入力され、</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K</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O</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列に収集した脆弱性関</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連情報の</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URL</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が自動入力されていることを確認します。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③　</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K</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O</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列の</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URL</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にアクセスし以下の観点を確認後、</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D</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J</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列に</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反映します。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・脆弱性の影響を受けるバージョンか？</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・脆弱性の深刻度（</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CVSS </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基本値）はいくつか？</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・脆弱性を悪用した攻撃は行われているか？</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・ネットワーク越しの攻撃は可能か？</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・実証コードは公開されているか？</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・ゼロデイ脆弱性か？</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・ベンダによる脆弱性の評価はいくつか？</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収集情報が複数ある場合は、影響を受けるバージョンの対象で、</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かつ、自組織に及ぼす影響が大きい情報を優先して反映します。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④　</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D</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列（脆弱性の影響を受けるバージョンか）で「</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影響を受け</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ない」を選択した場合は、当シート上での対応は不要であるため</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行を黒で塗りつぶします。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自動で黒に塗りつぶす設定は「ホーム」タブの「条件付き書式」</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「ルールの管理」で変更します。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⑤　</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E</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CVSS</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評価はいくつか）を記入する際、</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F[3]</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の</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URL</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にアクセ</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スし、「現状値」または「環境値」まで算出した評価値を表に反</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映します。収集情報に</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CVSS</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が記載されていなければ「</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0</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未評価</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）」を選択します。</a:t>
          </a:r>
        </a:p>
      </xdr:txBody>
    </xdr:sp>
    <xdr:clientData fLocksWithSheet="0" fPrintsWithSheet="0"/>
  </xdr:twoCellAnchor>
  <xdr:twoCellAnchor editAs="absolute">
    <xdr:from>
      <xdr:col>22</xdr:col>
      <xdr:colOff>105682</xdr:colOff>
      <xdr:row>9</xdr:row>
      <xdr:rowOff>151493</xdr:rowOff>
    </xdr:from>
    <xdr:to>
      <xdr:col>27</xdr:col>
      <xdr:colOff>781050</xdr:colOff>
      <xdr:row>63</xdr:row>
      <xdr:rowOff>57150</xdr:rowOff>
    </xdr:to>
    <xdr:sp macro="" textlink="">
      <xdr:nvSpPr>
        <xdr:cNvPr id="5" name="四角形: 角を丸くする 4">
          <a:extLst>
            <a:ext uri="{FF2B5EF4-FFF2-40B4-BE49-F238E27FC236}">
              <a16:creationId xmlns:a16="http://schemas.microsoft.com/office/drawing/2014/main" id="{F980CD89-6749-4FE6-B110-CDA576F0A66A}"/>
            </a:ext>
          </a:extLst>
        </xdr:cNvPr>
        <xdr:cNvSpPr>
          <a:spLocks noChangeAspect="1"/>
        </xdr:cNvSpPr>
      </xdr:nvSpPr>
      <xdr:spPr>
        <a:xfrm>
          <a:off x="22727557" y="2580368"/>
          <a:ext cx="4723493" cy="13278757"/>
        </a:xfrm>
        <a:prstGeom prst="roundRect">
          <a:avLst>
            <a:gd name="adj" fmla="val 0"/>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関数作成例</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・関数が入力されたセルに誤入力等して関数を消してしまった場合に使います。</a:t>
          </a: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a:t>
          </a:r>
          <a:r>
            <a:rPr lang="ja-JP"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=IFERROR(INDEX(</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脆弱性関連情報の確認</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!$A$4:$B$500,MATCH(LARGE((</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脆弱性関連情報の確認</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!$I$4:$I$500="○")*1/ROW(</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バージョン情報の確認</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!$A$4:$A$500),ROWS(</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脆弱性対策の適用判断</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!$A$4:$A4)),1/ROW(</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脆弱性関連情報の確認</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!$A$4:$A$500),0),COLUMNS(</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脆弱性関連情報の確認</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!$A$1:A$1)),"")</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B</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a:t>
          </a:r>
          <a:r>
            <a:rPr lang="ja-JP"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=IFERROR(INDEX(</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脆弱性関連情報の確認</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!$A$4:$B$500,MATCH(LARGE((</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脆弱性関連情報の確認</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!$I$4:$I$500="○")*1/ROW(</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バージョン情報の確認</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!$A$4:$A$500),ROWS(</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脆弱性対策の適用判断</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!$A$4:$A4)),1/ROW(</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脆弱性関連情報の確認</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!$A$4:$A$500),0),COLUMNS(</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脆弱性関連情報の確認</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!$A$1:B$1)),"")</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C</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a:t>
          </a:r>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=IFERROR(VLOOKUP($B6,</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バージョン情報の確認</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!$B$4:$G$1048576,3,0),"")&amp;""</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K</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a:t>
          </a:r>
          <a:r>
            <a:rPr lang="ja-JP"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=HYPERLINK(IFERROR(VLOOKUP($B6,</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脆弱性関連情報の確認</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!$B$4:$H$1048576,3,0),""))</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L</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a:t>
          </a:r>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chemeClr val="dk1"/>
              </a:solidFill>
              <a:effectLst/>
              <a:latin typeface="IPA Pゴシック" panose="020B0500000000000000" pitchFamily="50" charset="-128"/>
              <a:ea typeface="IPA Pゴシック" panose="020B0500000000000000" pitchFamily="50" charset="-128"/>
              <a:cs typeface="+mn-cs"/>
            </a:rPr>
            <a:t>=HYPERLINK(IFERROR(VLOOKUP($B6,</a:t>
          </a:r>
          <a:r>
            <a:rPr lang="ja-JP" altLang="en-US" sz="1100" b="0" i="0" u="none" strike="noStrike">
              <a:solidFill>
                <a:schemeClr val="dk1"/>
              </a:solidFill>
              <a:effectLst/>
              <a:latin typeface="IPA Pゴシック" panose="020B0500000000000000" pitchFamily="50" charset="-128"/>
              <a:ea typeface="IPA Pゴシック" panose="020B0500000000000000" pitchFamily="50" charset="-128"/>
              <a:cs typeface="+mn-cs"/>
            </a:rPr>
            <a:t>脆弱性関連情報の確認</a:t>
          </a:r>
          <a:r>
            <a:rPr lang="en-US" altLang="ja-JP" sz="1100" b="0" i="0" u="none" strike="noStrike">
              <a:solidFill>
                <a:schemeClr val="dk1"/>
              </a:solidFill>
              <a:effectLst/>
              <a:latin typeface="IPA Pゴシック" panose="020B0500000000000000" pitchFamily="50" charset="-128"/>
              <a:ea typeface="IPA Pゴシック" panose="020B0500000000000000" pitchFamily="50" charset="-128"/>
              <a:cs typeface="+mn-cs"/>
            </a:rPr>
            <a:t>!$B$4:$H$1048576,4,0),""))</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M</a:t>
          </a:r>
          <a:r>
            <a:rPr lang="ja-JP" altLang="ja-JP" sz="1100" b="0" baseline="0">
              <a:solidFill>
                <a:schemeClr val="dk1"/>
              </a:solidFill>
              <a:effectLst/>
              <a:latin typeface="IPA Pゴシック" panose="020B0500000000000000" pitchFamily="50" charset="-128"/>
              <a:ea typeface="IPA Pゴシック" panose="020B0500000000000000" pitchFamily="50" charset="-128"/>
              <a:cs typeface="+mn-cs"/>
            </a:rPr>
            <a:t>列：</a:t>
          </a:r>
          <a:endParaRPr lang="ja-JP" altLang="ja-JP">
            <a:effectLst/>
            <a:latin typeface="IPA Pゴシック" panose="020B0500000000000000" pitchFamily="50" charset="-128"/>
            <a:ea typeface="IPA Pゴシック" panose="020B05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a:solidFill>
                <a:schemeClr val="dk1"/>
              </a:solidFill>
              <a:effectLst/>
              <a:latin typeface="IPA Pゴシック" panose="020B0500000000000000" pitchFamily="50" charset="-128"/>
              <a:ea typeface="IPA Pゴシック" panose="020B0500000000000000" pitchFamily="50" charset="-128"/>
              <a:cs typeface="+mn-cs"/>
            </a:rPr>
            <a:t>=HYPERLINK(IFERROR(VLOOKUP($B6,</a:t>
          </a:r>
          <a:r>
            <a:rPr lang="ja-JP" altLang="en-US" sz="1100" b="0" i="0">
              <a:solidFill>
                <a:schemeClr val="dk1"/>
              </a:solidFill>
              <a:effectLst/>
              <a:latin typeface="IPA Pゴシック" panose="020B0500000000000000" pitchFamily="50" charset="-128"/>
              <a:ea typeface="IPA Pゴシック" panose="020B0500000000000000" pitchFamily="50" charset="-128"/>
              <a:cs typeface="+mn-cs"/>
            </a:rPr>
            <a:t>脆弱性関連情報の確認</a:t>
          </a:r>
          <a:r>
            <a:rPr lang="en-US" altLang="ja-JP" sz="1100" b="0" i="0">
              <a:solidFill>
                <a:schemeClr val="dk1"/>
              </a:solidFill>
              <a:effectLst/>
              <a:latin typeface="IPA Pゴシック" panose="020B0500000000000000" pitchFamily="50" charset="-128"/>
              <a:ea typeface="IPA Pゴシック" panose="020B0500000000000000" pitchFamily="50" charset="-128"/>
              <a:cs typeface="+mn-cs"/>
            </a:rPr>
            <a:t>!$B$4:$H$1048576,5,0),""))</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N</a:t>
          </a:r>
          <a:r>
            <a:rPr lang="ja-JP" altLang="ja-JP" sz="1100" b="0" baseline="0">
              <a:solidFill>
                <a:schemeClr val="dk1"/>
              </a:solidFill>
              <a:effectLst/>
              <a:latin typeface="IPA Pゴシック" panose="020B0500000000000000" pitchFamily="50" charset="-128"/>
              <a:ea typeface="IPA Pゴシック" panose="020B0500000000000000" pitchFamily="50" charset="-128"/>
              <a:cs typeface="+mn-cs"/>
            </a:rPr>
            <a:t>列：</a:t>
          </a:r>
          <a:endParaRPr lang="ja-JP" altLang="ja-JP">
            <a:effectLst/>
            <a:latin typeface="IPA Pゴシック" panose="020B0500000000000000" pitchFamily="50" charset="-128"/>
            <a:ea typeface="IPA Pゴシック" panose="020B0500000000000000" pitchFamily="50" charset="-128"/>
          </a:endParaRPr>
        </a:p>
        <a:p>
          <a:pPr eaLnBrk="1" fontAlgn="auto" latinLnBrk="0" hangingPunct="1"/>
          <a:r>
            <a:rPr lang="en-US" altLang="ja-JP" sz="1100" b="0" i="0">
              <a:solidFill>
                <a:schemeClr val="dk1"/>
              </a:solidFill>
              <a:effectLst/>
              <a:latin typeface="IPA Pゴシック" panose="020B0500000000000000" pitchFamily="50" charset="-128"/>
              <a:ea typeface="IPA Pゴシック" panose="020B0500000000000000" pitchFamily="50" charset="-128"/>
              <a:cs typeface="+mn-cs"/>
            </a:rPr>
            <a:t>=HYPERLINK(IFERROR(VLOOKUP($B6,</a:t>
          </a:r>
          <a:r>
            <a:rPr lang="ja-JP" altLang="en-US" sz="1100" b="0" i="0">
              <a:solidFill>
                <a:schemeClr val="dk1"/>
              </a:solidFill>
              <a:effectLst/>
              <a:latin typeface="IPA Pゴシック" panose="020B0500000000000000" pitchFamily="50" charset="-128"/>
              <a:ea typeface="IPA Pゴシック" panose="020B0500000000000000" pitchFamily="50" charset="-128"/>
              <a:cs typeface="+mn-cs"/>
            </a:rPr>
            <a:t>脆弱性関連情報の確認</a:t>
          </a:r>
          <a:r>
            <a:rPr lang="en-US" altLang="ja-JP" sz="1100" b="0" i="0">
              <a:solidFill>
                <a:schemeClr val="dk1"/>
              </a:solidFill>
              <a:effectLst/>
              <a:latin typeface="IPA Pゴシック" panose="020B0500000000000000" pitchFamily="50" charset="-128"/>
              <a:ea typeface="IPA Pゴシック" panose="020B0500000000000000" pitchFamily="50" charset="-128"/>
              <a:cs typeface="+mn-cs"/>
            </a:rPr>
            <a:t>!$B$4:$H$1048576,6,0),""))</a:t>
          </a:r>
        </a:p>
        <a:p>
          <a:pPr eaLnBrk="1" fontAlgn="auto" latinLnBrk="0" hangingPunct="1"/>
          <a:r>
            <a:rPr lang="en-US" altLang="ja-JP" sz="1100" b="0" i="0">
              <a:solidFill>
                <a:schemeClr val="dk1"/>
              </a:solidFill>
              <a:effectLst/>
              <a:latin typeface="IPA Pゴシック" panose="020B0500000000000000" pitchFamily="50" charset="-128"/>
              <a:ea typeface="IPA Pゴシック" panose="020B0500000000000000" pitchFamily="50" charset="-128"/>
              <a:cs typeface="+mn-cs"/>
            </a:rPr>
            <a:t>O</a:t>
          </a:r>
          <a:r>
            <a:rPr lang="ja-JP" altLang="en-US" sz="1100" b="0" i="0">
              <a:solidFill>
                <a:schemeClr val="dk1"/>
              </a:solidFill>
              <a:effectLst/>
              <a:latin typeface="IPA Pゴシック" panose="020B0500000000000000" pitchFamily="50" charset="-128"/>
              <a:ea typeface="IPA Pゴシック" panose="020B0500000000000000" pitchFamily="50" charset="-128"/>
              <a:cs typeface="+mn-cs"/>
            </a:rPr>
            <a:t>列：</a:t>
          </a:r>
          <a:endParaRPr lang="en-US" altLang="ja-JP" sz="1100" b="0" i="0">
            <a:solidFill>
              <a:schemeClr val="dk1"/>
            </a:solidFill>
            <a:effectLst/>
            <a:latin typeface="IPA Pゴシック" panose="020B0500000000000000" pitchFamily="50" charset="-128"/>
            <a:ea typeface="IPA Pゴシック" panose="020B0500000000000000" pitchFamily="50" charset="-128"/>
            <a:cs typeface="+mn-cs"/>
          </a:endParaRPr>
        </a:p>
        <a:p>
          <a:pPr eaLnBrk="1" fontAlgn="auto" latinLnBrk="0" hangingPunct="1"/>
          <a:r>
            <a:rPr lang="en-US" altLang="ja-JP" sz="1100" b="0" i="0">
              <a:solidFill>
                <a:schemeClr val="dk1"/>
              </a:solidFill>
              <a:effectLst/>
              <a:latin typeface="IPA Pゴシック" panose="020B0500000000000000" pitchFamily="50" charset="-128"/>
              <a:ea typeface="IPA Pゴシック" panose="020B0500000000000000" pitchFamily="50" charset="-128"/>
              <a:cs typeface="+mn-cs"/>
            </a:rPr>
            <a:t>=HYPERLINK(IFERROR(VLOOKUP($B6,</a:t>
          </a:r>
          <a:r>
            <a:rPr lang="ja-JP" altLang="en-US" sz="1100" b="0" i="0">
              <a:solidFill>
                <a:schemeClr val="dk1"/>
              </a:solidFill>
              <a:effectLst/>
              <a:latin typeface="IPA Pゴシック" panose="020B0500000000000000" pitchFamily="50" charset="-128"/>
              <a:ea typeface="IPA Pゴシック" panose="020B0500000000000000" pitchFamily="50" charset="-128"/>
              <a:cs typeface="+mn-cs"/>
            </a:rPr>
            <a:t>脆弱性関連情報の確認</a:t>
          </a:r>
          <a:r>
            <a:rPr lang="en-US" altLang="ja-JP" sz="1100" b="0" i="0">
              <a:solidFill>
                <a:schemeClr val="dk1"/>
              </a:solidFill>
              <a:effectLst/>
              <a:latin typeface="IPA Pゴシック" panose="020B0500000000000000" pitchFamily="50" charset="-128"/>
              <a:ea typeface="IPA Pゴシック" panose="020B0500000000000000" pitchFamily="50" charset="-128"/>
              <a:cs typeface="+mn-cs"/>
            </a:rPr>
            <a:t>!$B$4:$H$1048576,7,0),""))</a:t>
          </a:r>
        </a:p>
        <a:p>
          <a:pPr eaLnBrk="1" fontAlgn="auto" latinLnBrk="0" hangingPunct="1"/>
          <a:r>
            <a:rPr lang="en-US" altLang="ja-JP" sz="1100" b="0" i="0">
              <a:solidFill>
                <a:schemeClr val="dk1"/>
              </a:solidFill>
              <a:effectLst/>
              <a:latin typeface="IPA Pゴシック" panose="020B0500000000000000" pitchFamily="50" charset="-128"/>
              <a:ea typeface="IPA Pゴシック" panose="020B0500000000000000" pitchFamily="50" charset="-128"/>
              <a:cs typeface="+mn-cs"/>
            </a:rPr>
            <a:t>P</a:t>
          </a:r>
          <a:r>
            <a:rPr lang="ja-JP" altLang="en-US" sz="1100" b="0" i="0">
              <a:solidFill>
                <a:schemeClr val="dk1"/>
              </a:solidFill>
              <a:effectLst/>
              <a:latin typeface="IPA Pゴシック" panose="020B0500000000000000" pitchFamily="50" charset="-128"/>
              <a:ea typeface="IPA Pゴシック" panose="020B0500000000000000" pitchFamily="50" charset="-128"/>
              <a:cs typeface="+mn-cs"/>
            </a:rPr>
            <a:t>列：</a:t>
          </a:r>
          <a:endParaRPr lang="en-US" altLang="ja-JP" sz="1100" b="0" i="0">
            <a:solidFill>
              <a:schemeClr val="dk1"/>
            </a:solidFill>
            <a:effectLst/>
            <a:latin typeface="IPA Pゴシック" panose="020B0500000000000000" pitchFamily="50" charset="-128"/>
            <a:ea typeface="IPA Pゴシック" panose="020B0500000000000000" pitchFamily="50" charset="-128"/>
            <a:cs typeface="+mn-cs"/>
          </a:endParaRPr>
        </a:p>
        <a:p>
          <a:pPr eaLnBrk="1" fontAlgn="auto" latinLnBrk="0" hangingPunct="1"/>
          <a:r>
            <a:rPr lang="en-US" altLang="ja-JP">
              <a:effectLst/>
              <a:latin typeface="IPA Pゴシック" panose="020B0500000000000000" pitchFamily="50" charset="-128"/>
              <a:ea typeface="IPA Pゴシック" panose="020B0500000000000000" pitchFamily="50" charset="-128"/>
            </a:rPr>
            <a:t>=IFERROR(IFS(</a:t>
          </a:r>
        </a:p>
        <a:p>
          <a:pPr eaLnBrk="1" fontAlgn="auto" latinLnBrk="0" hangingPunct="1"/>
          <a:r>
            <a:rPr lang="en-US" altLang="ja-JP">
              <a:effectLst/>
              <a:latin typeface="IPA Pゴシック" panose="020B0500000000000000" pitchFamily="50" charset="-128"/>
              <a:ea typeface="IPA Pゴシック" panose="020B0500000000000000" pitchFamily="50" charset="-128"/>
            </a:rPr>
            <a:t>[@CVSS</a:t>
          </a:r>
          <a:r>
            <a:rPr lang="ja-JP" altLang="en-US">
              <a:effectLst/>
              <a:latin typeface="IPA Pゴシック" panose="020B0500000000000000" pitchFamily="50" charset="-128"/>
              <a:ea typeface="IPA Pゴシック" panose="020B0500000000000000" pitchFamily="50" charset="-128"/>
            </a:rPr>
            <a:t>評価はいくつか（現状値</a:t>
          </a:r>
          <a:r>
            <a:rPr lang="en-US" altLang="ja-JP">
              <a:effectLst/>
              <a:latin typeface="IPA Pゴシック" panose="020B0500000000000000" pitchFamily="50" charset="-128"/>
              <a:ea typeface="IPA Pゴシック" panose="020B0500000000000000" pitchFamily="50" charset="-128"/>
            </a:rPr>
            <a:t>or</a:t>
          </a:r>
          <a:r>
            <a:rPr lang="ja-JP" altLang="en-US">
              <a:effectLst/>
              <a:latin typeface="IPA Pゴシック" panose="020B0500000000000000" pitchFamily="50" charset="-128"/>
              <a:ea typeface="IPA Pゴシック" panose="020B0500000000000000" pitchFamily="50" charset="-128"/>
            </a:rPr>
            <a:t>環境値）</a:t>
          </a:r>
          <a:r>
            <a:rPr lang="en-US" altLang="ja-JP">
              <a:effectLst/>
              <a:latin typeface="IPA Pゴシック" panose="020B0500000000000000" pitchFamily="50" charset="-128"/>
              <a:ea typeface="IPA Pゴシック" panose="020B0500000000000000" pitchFamily="50" charset="-128"/>
            </a:rPr>
            <a:t>]=</a:t>
          </a:r>
          <a:r>
            <a:rPr lang="ja-JP" altLang="en-US">
              <a:effectLst/>
              <a:latin typeface="IPA Pゴシック" panose="020B0500000000000000" pitchFamily="50" charset="-128"/>
              <a:ea typeface="IPA Pゴシック" panose="020B0500000000000000" pitchFamily="50" charset="-128"/>
            </a:rPr>
            <a:t>緊急度・対応方針設定</a:t>
          </a:r>
          <a:r>
            <a:rPr lang="en-US" altLang="ja-JP">
              <a:effectLst/>
              <a:latin typeface="IPA Pゴシック" panose="020B0500000000000000" pitchFamily="50" charset="-128"/>
              <a:ea typeface="IPA Pゴシック" panose="020B0500000000000000" pitchFamily="50" charset="-128"/>
            </a:rPr>
            <a:t>!$A$4,</a:t>
          </a:r>
          <a:r>
            <a:rPr lang="ja-JP" altLang="en-US">
              <a:effectLst/>
              <a:latin typeface="IPA Pゴシック" panose="020B0500000000000000" pitchFamily="50" charset="-128"/>
              <a:ea typeface="IPA Pゴシック" panose="020B0500000000000000" pitchFamily="50" charset="-128"/>
            </a:rPr>
            <a:t>緊急度・対応方針設定</a:t>
          </a:r>
          <a:r>
            <a:rPr lang="en-US" altLang="ja-JP">
              <a:effectLst/>
              <a:latin typeface="IPA Pゴシック" panose="020B0500000000000000" pitchFamily="50" charset="-128"/>
              <a:ea typeface="IPA Pゴシック" panose="020B0500000000000000" pitchFamily="50" charset="-128"/>
            </a:rPr>
            <a:t>!$B$4,</a:t>
          </a:r>
        </a:p>
        <a:p>
          <a:pPr eaLnBrk="1" fontAlgn="auto" latinLnBrk="0" hangingPunct="1"/>
          <a:r>
            <a:rPr lang="en-US" altLang="ja-JP">
              <a:effectLst/>
              <a:latin typeface="IPA Pゴシック" panose="020B0500000000000000" pitchFamily="50" charset="-128"/>
              <a:ea typeface="IPA Pゴシック" panose="020B0500000000000000" pitchFamily="50" charset="-128"/>
            </a:rPr>
            <a:t>[@</a:t>
          </a:r>
          <a:r>
            <a:rPr lang="ja-JP" altLang="en-US">
              <a:effectLst/>
              <a:latin typeface="IPA Pゴシック" panose="020B0500000000000000" pitchFamily="50" charset="-128"/>
              <a:ea typeface="IPA Pゴシック" panose="020B0500000000000000" pitchFamily="50" charset="-128"/>
            </a:rPr>
            <a:t>脆弱性を悪用した攻撃は行われているか</a:t>
          </a:r>
          <a:r>
            <a:rPr lang="en-US" altLang="ja-JP">
              <a:effectLst/>
              <a:latin typeface="IPA Pゴシック" panose="020B0500000000000000" pitchFamily="50" charset="-128"/>
              <a:ea typeface="IPA Pゴシック" panose="020B0500000000000000" pitchFamily="50" charset="-128"/>
            </a:rPr>
            <a:t>]=</a:t>
          </a:r>
          <a:r>
            <a:rPr lang="ja-JP" altLang="en-US">
              <a:effectLst/>
              <a:latin typeface="IPA Pゴシック" panose="020B0500000000000000" pitchFamily="50" charset="-128"/>
              <a:ea typeface="IPA Pゴシック" panose="020B0500000000000000" pitchFamily="50" charset="-128"/>
            </a:rPr>
            <a:t>緊急度・対応方針設定</a:t>
          </a:r>
          <a:r>
            <a:rPr lang="en-US" altLang="ja-JP">
              <a:effectLst/>
              <a:latin typeface="IPA Pゴシック" panose="020B0500000000000000" pitchFamily="50" charset="-128"/>
              <a:ea typeface="IPA Pゴシック" panose="020B0500000000000000" pitchFamily="50" charset="-128"/>
            </a:rPr>
            <a:t>!$A$11,</a:t>
          </a:r>
          <a:r>
            <a:rPr lang="ja-JP" altLang="en-US">
              <a:effectLst/>
              <a:latin typeface="IPA Pゴシック" panose="020B0500000000000000" pitchFamily="50" charset="-128"/>
              <a:ea typeface="IPA Pゴシック" panose="020B0500000000000000" pitchFamily="50" charset="-128"/>
            </a:rPr>
            <a:t>緊急度・対応方針設定</a:t>
          </a:r>
          <a:r>
            <a:rPr lang="en-US" altLang="ja-JP">
              <a:effectLst/>
              <a:latin typeface="IPA Pゴシック" panose="020B0500000000000000" pitchFamily="50" charset="-128"/>
              <a:ea typeface="IPA Pゴシック" panose="020B0500000000000000" pitchFamily="50" charset="-128"/>
            </a:rPr>
            <a:t>!$B$11,</a:t>
          </a:r>
        </a:p>
        <a:p>
          <a:pPr eaLnBrk="1" fontAlgn="auto" latinLnBrk="0" hangingPunct="1"/>
          <a:r>
            <a:rPr lang="en-US" altLang="ja-JP">
              <a:effectLst/>
              <a:latin typeface="IPA Pゴシック" panose="020B0500000000000000" pitchFamily="50" charset="-128"/>
              <a:ea typeface="IPA Pゴシック" panose="020B0500000000000000" pitchFamily="50" charset="-128"/>
            </a:rPr>
            <a:t>[@</a:t>
          </a:r>
          <a:r>
            <a:rPr lang="ja-JP" altLang="en-US">
              <a:effectLst/>
              <a:latin typeface="IPA Pゴシック" panose="020B0500000000000000" pitchFamily="50" charset="-128"/>
              <a:ea typeface="IPA Pゴシック" panose="020B0500000000000000" pitchFamily="50" charset="-128"/>
            </a:rPr>
            <a:t>ベンダによる脆弱性の評価はいくつか</a:t>
          </a:r>
          <a:r>
            <a:rPr lang="en-US" altLang="ja-JP">
              <a:effectLst/>
              <a:latin typeface="IPA Pゴシック" panose="020B0500000000000000" pitchFamily="50" charset="-128"/>
              <a:ea typeface="IPA Pゴシック" panose="020B0500000000000000" pitchFamily="50" charset="-128"/>
            </a:rPr>
            <a:t>]=</a:t>
          </a:r>
          <a:r>
            <a:rPr lang="ja-JP" altLang="en-US">
              <a:effectLst/>
              <a:latin typeface="IPA Pゴシック" panose="020B0500000000000000" pitchFamily="50" charset="-128"/>
              <a:ea typeface="IPA Pゴシック" panose="020B0500000000000000" pitchFamily="50" charset="-128"/>
            </a:rPr>
            <a:t>緊急度・対応方針設定</a:t>
          </a:r>
          <a:r>
            <a:rPr lang="en-US" altLang="ja-JP">
              <a:effectLst/>
              <a:latin typeface="IPA Pゴシック" panose="020B0500000000000000" pitchFamily="50" charset="-128"/>
              <a:ea typeface="IPA Pゴシック" panose="020B0500000000000000" pitchFamily="50" charset="-128"/>
            </a:rPr>
            <a:t>!$A$17,</a:t>
          </a:r>
          <a:r>
            <a:rPr lang="ja-JP" altLang="en-US">
              <a:effectLst/>
              <a:latin typeface="IPA Pゴシック" panose="020B0500000000000000" pitchFamily="50" charset="-128"/>
              <a:ea typeface="IPA Pゴシック" panose="020B0500000000000000" pitchFamily="50" charset="-128"/>
            </a:rPr>
            <a:t>緊急度・対応方針設定</a:t>
          </a:r>
          <a:r>
            <a:rPr lang="en-US" altLang="ja-JP">
              <a:effectLst/>
              <a:latin typeface="IPA Pゴシック" panose="020B0500000000000000" pitchFamily="50" charset="-128"/>
              <a:ea typeface="IPA Pゴシック" panose="020B0500000000000000" pitchFamily="50" charset="-128"/>
            </a:rPr>
            <a:t>!$B$17,</a:t>
          </a:r>
        </a:p>
        <a:p>
          <a:pPr eaLnBrk="1" fontAlgn="auto" latinLnBrk="0" hangingPunct="1"/>
          <a:r>
            <a:rPr lang="en-US" altLang="ja-JP">
              <a:effectLst/>
              <a:latin typeface="IPA Pゴシック" panose="020B0500000000000000" pitchFamily="50" charset="-128"/>
              <a:ea typeface="IPA Pゴシック" panose="020B0500000000000000" pitchFamily="50" charset="-128"/>
            </a:rPr>
            <a:t>[@CVSS</a:t>
          </a:r>
          <a:r>
            <a:rPr lang="ja-JP" altLang="en-US">
              <a:effectLst/>
              <a:latin typeface="IPA Pゴシック" panose="020B0500000000000000" pitchFamily="50" charset="-128"/>
              <a:ea typeface="IPA Pゴシック" panose="020B0500000000000000" pitchFamily="50" charset="-128"/>
            </a:rPr>
            <a:t>評価はいくつか（現状値</a:t>
          </a:r>
          <a:r>
            <a:rPr lang="en-US" altLang="ja-JP">
              <a:effectLst/>
              <a:latin typeface="IPA Pゴシック" panose="020B0500000000000000" pitchFamily="50" charset="-128"/>
              <a:ea typeface="IPA Pゴシック" panose="020B0500000000000000" pitchFamily="50" charset="-128"/>
            </a:rPr>
            <a:t>or</a:t>
          </a:r>
          <a:r>
            <a:rPr lang="ja-JP" altLang="en-US">
              <a:effectLst/>
              <a:latin typeface="IPA Pゴシック" panose="020B0500000000000000" pitchFamily="50" charset="-128"/>
              <a:ea typeface="IPA Pゴシック" panose="020B0500000000000000" pitchFamily="50" charset="-128"/>
            </a:rPr>
            <a:t>環境値）</a:t>
          </a:r>
          <a:r>
            <a:rPr lang="en-US" altLang="ja-JP">
              <a:effectLst/>
              <a:latin typeface="IPA Pゴシック" panose="020B0500000000000000" pitchFamily="50" charset="-128"/>
              <a:ea typeface="IPA Pゴシック" panose="020B0500000000000000" pitchFamily="50" charset="-128"/>
            </a:rPr>
            <a:t>]=</a:t>
          </a:r>
          <a:r>
            <a:rPr lang="ja-JP" altLang="en-US">
              <a:effectLst/>
              <a:latin typeface="IPA Pゴシック" panose="020B0500000000000000" pitchFamily="50" charset="-128"/>
              <a:ea typeface="IPA Pゴシック" panose="020B0500000000000000" pitchFamily="50" charset="-128"/>
            </a:rPr>
            <a:t>緊急度・対応方針設定</a:t>
          </a:r>
          <a:r>
            <a:rPr lang="en-US" altLang="ja-JP">
              <a:effectLst/>
              <a:latin typeface="IPA Pゴシック" panose="020B0500000000000000" pitchFamily="50" charset="-128"/>
              <a:ea typeface="IPA Pゴシック" panose="020B0500000000000000" pitchFamily="50" charset="-128"/>
            </a:rPr>
            <a:t>!$A$5,</a:t>
          </a:r>
          <a:r>
            <a:rPr lang="ja-JP" altLang="en-US">
              <a:effectLst/>
              <a:latin typeface="IPA Pゴシック" panose="020B0500000000000000" pitchFamily="50" charset="-128"/>
              <a:ea typeface="IPA Pゴシック" panose="020B0500000000000000" pitchFamily="50" charset="-128"/>
            </a:rPr>
            <a:t>緊急度・対応方針設定</a:t>
          </a:r>
          <a:r>
            <a:rPr lang="en-US" altLang="ja-JP">
              <a:effectLst/>
              <a:latin typeface="IPA Pゴシック" panose="020B0500000000000000" pitchFamily="50" charset="-128"/>
              <a:ea typeface="IPA Pゴシック" panose="020B0500000000000000" pitchFamily="50" charset="-128"/>
            </a:rPr>
            <a:t>!$B$5,</a:t>
          </a:r>
        </a:p>
        <a:p>
          <a:pPr eaLnBrk="1" fontAlgn="auto" latinLnBrk="0" hangingPunct="1"/>
          <a:r>
            <a:rPr lang="en-US" altLang="ja-JP">
              <a:effectLst/>
              <a:latin typeface="IPA Pゴシック" panose="020B0500000000000000" pitchFamily="50" charset="-128"/>
              <a:ea typeface="IPA Pゴシック" panose="020B0500000000000000" pitchFamily="50" charset="-128"/>
            </a:rPr>
            <a:t>[@</a:t>
          </a:r>
          <a:r>
            <a:rPr lang="ja-JP" altLang="en-US">
              <a:effectLst/>
              <a:latin typeface="IPA Pゴシック" panose="020B0500000000000000" pitchFamily="50" charset="-128"/>
              <a:ea typeface="IPA Pゴシック" panose="020B0500000000000000" pitchFamily="50" charset="-128"/>
            </a:rPr>
            <a:t>ネットワーク越しからの攻撃が可能か</a:t>
          </a:r>
          <a:r>
            <a:rPr lang="en-US" altLang="ja-JP">
              <a:effectLst/>
              <a:latin typeface="IPA Pゴシック" panose="020B0500000000000000" pitchFamily="50" charset="-128"/>
              <a:ea typeface="IPA Pゴシック" panose="020B0500000000000000" pitchFamily="50" charset="-128"/>
            </a:rPr>
            <a:t>]=</a:t>
          </a:r>
          <a:r>
            <a:rPr lang="ja-JP" altLang="en-US">
              <a:effectLst/>
              <a:latin typeface="IPA Pゴシック" panose="020B0500000000000000" pitchFamily="50" charset="-128"/>
              <a:ea typeface="IPA Pゴシック" panose="020B0500000000000000" pitchFamily="50" charset="-128"/>
            </a:rPr>
            <a:t>緊急度・対応方針設定</a:t>
          </a:r>
          <a:r>
            <a:rPr lang="en-US" altLang="ja-JP">
              <a:effectLst/>
              <a:latin typeface="IPA Pゴシック" panose="020B0500000000000000" pitchFamily="50" charset="-128"/>
              <a:ea typeface="IPA Pゴシック" panose="020B0500000000000000" pitchFamily="50" charset="-128"/>
            </a:rPr>
            <a:t>!$A$12,</a:t>
          </a:r>
          <a:r>
            <a:rPr lang="ja-JP" altLang="en-US">
              <a:effectLst/>
              <a:latin typeface="IPA Pゴシック" panose="020B0500000000000000" pitchFamily="50" charset="-128"/>
              <a:ea typeface="IPA Pゴシック" panose="020B0500000000000000" pitchFamily="50" charset="-128"/>
            </a:rPr>
            <a:t>緊急度・対応方針設定</a:t>
          </a:r>
          <a:r>
            <a:rPr lang="en-US" altLang="ja-JP">
              <a:effectLst/>
              <a:latin typeface="IPA Pゴシック" panose="020B0500000000000000" pitchFamily="50" charset="-128"/>
              <a:ea typeface="IPA Pゴシック" panose="020B0500000000000000" pitchFamily="50" charset="-128"/>
            </a:rPr>
            <a:t>!$B$12,</a:t>
          </a:r>
        </a:p>
        <a:p>
          <a:pPr eaLnBrk="1" fontAlgn="auto" latinLnBrk="0" hangingPunct="1"/>
          <a:r>
            <a:rPr lang="en-US" altLang="ja-JP">
              <a:effectLst/>
              <a:latin typeface="IPA Pゴシック" panose="020B0500000000000000" pitchFamily="50" charset="-128"/>
              <a:ea typeface="IPA Pゴシック" panose="020B0500000000000000" pitchFamily="50" charset="-128"/>
            </a:rPr>
            <a:t>[@</a:t>
          </a:r>
          <a:r>
            <a:rPr lang="ja-JP" altLang="en-US">
              <a:effectLst/>
              <a:latin typeface="IPA Pゴシック" panose="020B0500000000000000" pitchFamily="50" charset="-128"/>
              <a:ea typeface="IPA Pゴシック" panose="020B0500000000000000" pitchFamily="50" charset="-128"/>
            </a:rPr>
            <a:t>実証コード（</a:t>
          </a:r>
          <a:r>
            <a:rPr lang="en-US" altLang="ja-JP">
              <a:effectLst/>
              <a:latin typeface="IPA Pゴシック" panose="020B0500000000000000" pitchFamily="50" charset="-128"/>
              <a:ea typeface="IPA Pゴシック" panose="020B0500000000000000" pitchFamily="50" charset="-128"/>
            </a:rPr>
            <a:t>PoC</a:t>
          </a:r>
          <a:r>
            <a:rPr lang="ja-JP" altLang="en-US">
              <a:effectLst/>
              <a:latin typeface="IPA Pゴシック" panose="020B0500000000000000" pitchFamily="50" charset="-128"/>
              <a:ea typeface="IPA Pゴシック" panose="020B0500000000000000" pitchFamily="50" charset="-128"/>
            </a:rPr>
            <a:t>）は公開されているか</a:t>
          </a:r>
          <a:r>
            <a:rPr lang="en-US" altLang="ja-JP">
              <a:effectLst/>
              <a:latin typeface="IPA Pゴシック" panose="020B0500000000000000" pitchFamily="50" charset="-128"/>
              <a:ea typeface="IPA Pゴシック" panose="020B0500000000000000" pitchFamily="50" charset="-128"/>
            </a:rPr>
            <a:t>]=</a:t>
          </a:r>
          <a:r>
            <a:rPr lang="ja-JP" altLang="en-US">
              <a:effectLst/>
              <a:latin typeface="IPA Pゴシック" panose="020B0500000000000000" pitchFamily="50" charset="-128"/>
              <a:ea typeface="IPA Pゴシック" panose="020B0500000000000000" pitchFamily="50" charset="-128"/>
            </a:rPr>
            <a:t>緊急度・対応方針設定</a:t>
          </a:r>
          <a:r>
            <a:rPr lang="en-US" altLang="ja-JP">
              <a:effectLst/>
              <a:latin typeface="IPA Pゴシック" panose="020B0500000000000000" pitchFamily="50" charset="-128"/>
              <a:ea typeface="IPA Pゴシック" panose="020B0500000000000000" pitchFamily="50" charset="-128"/>
            </a:rPr>
            <a:t>!$A$13,</a:t>
          </a:r>
          <a:r>
            <a:rPr lang="ja-JP" altLang="en-US">
              <a:effectLst/>
              <a:latin typeface="IPA Pゴシック" panose="020B0500000000000000" pitchFamily="50" charset="-128"/>
              <a:ea typeface="IPA Pゴシック" panose="020B0500000000000000" pitchFamily="50" charset="-128"/>
            </a:rPr>
            <a:t>緊急度・対応方針設定</a:t>
          </a:r>
          <a:r>
            <a:rPr lang="en-US" altLang="ja-JP">
              <a:effectLst/>
              <a:latin typeface="IPA Pゴシック" panose="020B0500000000000000" pitchFamily="50" charset="-128"/>
              <a:ea typeface="IPA Pゴシック" panose="020B0500000000000000" pitchFamily="50" charset="-128"/>
            </a:rPr>
            <a:t>!$B$13,</a:t>
          </a:r>
        </a:p>
        <a:p>
          <a:pPr eaLnBrk="1" fontAlgn="auto" latinLnBrk="0" hangingPunct="1"/>
          <a:r>
            <a:rPr lang="en-US" altLang="ja-JP">
              <a:effectLst/>
              <a:latin typeface="IPA Pゴシック" panose="020B0500000000000000" pitchFamily="50" charset="-128"/>
              <a:ea typeface="IPA Pゴシック" panose="020B0500000000000000" pitchFamily="50" charset="-128"/>
            </a:rPr>
            <a:t>[@</a:t>
          </a:r>
          <a:r>
            <a:rPr lang="ja-JP" altLang="en-US">
              <a:effectLst/>
              <a:latin typeface="IPA Pゴシック" panose="020B0500000000000000" pitchFamily="50" charset="-128"/>
              <a:ea typeface="IPA Pゴシック" panose="020B0500000000000000" pitchFamily="50" charset="-128"/>
            </a:rPr>
            <a:t>ゼロデイ脆弱性か</a:t>
          </a:r>
          <a:r>
            <a:rPr lang="en-US" altLang="ja-JP">
              <a:effectLst/>
              <a:latin typeface="IPA Pゴシック" panose="020B0500000000000000" pitchFamily="50" charset="-128"/>
              <a:ea typeface="IPA Pゴシック" panose="020B0500000000000000" pitchFamily="50" charset="-128"/>
            </a:rPr>
            <a:t>]=</a:t>
          </a:r>
          <a:r>
            <a:rPr lang="ja-JP" altLang="en-US">
              <a:effectLst/>
              <a:latin typeface="IPA Pゴシック" panose="020B0500000000000000" pitchFamily="50" charset="-128"/>
              <a:ea typeface="IPA Pゴシック" panose="020B0500000000000000" pitchFamily="50" charset="-128"/>
            </a:rPr>
            <a:t>緊急度・対応方針設定</a:t>
          </a:r>
          <a:r>
            <a:rPr lang="en-US" altLang="ja-JP">
              <a:effectLst/>
              <a:latin typeface="IPA Pゴシック" panose="020B0500000000000000" pitchFamily="50" charset="-128"/>
              <a:ea typeface="IPA Pゴシック" panose="020B0500000000000000" pitchFamily="50" charset="-128"/>
            </a:rPr>
            <a:t>!$A$14,</a:t>
          </a:r>
          <a:r>
            <a:rPr lang="ja-JP" altLang="en-US">
              <a:effectLst/>
              <a:latin typeface="IPA Pゴシック" panose="020B0500000000000000" pitchFamily="50" charset="-128"/>
              <a:ea typeface="IPA Pゴシック" panose="020B0500000000000000" pitchFamily="50" charset="-128"/>
            </a:rPr>
            <a:t>緊急度・対応方針設定</a:t>
          </a:r>
          <a:r>
            <a:rPr lang="en-US" altLang="ja-JP">
              <a:effectLst/>
              <a:latin typeface="IPA Pゴシック" panose="020B0500000000000000" pitchFamily="50" charset="-128"/>
              <a:ea typeface="IPA Pゴシック" panose="020B0500000000000000" pitchFamily="50" charset="-128"/>
            </a:rPr>
            <a:t>!$B$14,</a:t>
          </a:r>
        </a:p>
        <a:p>
          <a:pPr eaLnBrk="1" fontAlgn="auto" latinLnBrk="0" hangingPunct="1"/>
          <a:r>
            <a:rPr lang="en-US" altLang="ja-JP">
              <a:effectLst/>
              <a:latin typeface="IPA Pゴシック" panose="020B0500000000000000" pitchFamily="50" charset="-128"/>
              <a:ea typeface="IPA Pゴシック" panose="020B0500000000000000" pitchFamily="50" charset="-128"/>
            </a:rPr>
            <a:t>[@</a:t>
          </a:r>
          <a:r>
            <a:rPr lang="ja-JP" altLang="en-US">
              <a:effectLst/>
              <a:latin typeface="IPA Pゴシック" panose="020B0500000000000000" pitchFamily="50" charset="-128"/>
              <a:ea typeface="IPA Pゴシック" panose="020B0500000000000000" pitchFamily="50" charset="-128"/>
            </a:rPr>
            <a:t>ベンダによる脆弱性の評価はいくつか</a:t>
          </a:r>
          <a:r>
            <a:rPr lang="en-US" altLang="ja-JP">
              <a:effectLst/>
              <a:latin typeface="IPA Pゴシック" panose="020B0500000000000000" pitchFamily="50" charset="-128"/>
              <a:ea typeface="IPA Pゴシック" panose="020B0500000000000000" pitchFamily="50" charset="-128"/>
            </a:rPr>
            <a:t>]=</a:t>
          </a:r>
          <a:r>
            <a:rPr lang="ja-JP" altLang="en-US">
              <a:effectLst/>
              <a:latin typeface="IPA Pゴシック" panose="020B0500000000000000" pitchFamily="50" charset="-128"/>
              <a:ea typeface="IPA Pゴシック" panose="020B0500000000000000" pitchFamily="50" charset="-128"/>
            </a:rPr>
            <a:t>緊急度・対応方針設定</a:t>
          </a:r>
          <a:r>
            <a:rPr lang="en-US" altLang="ja-JP">
              <a:effectLst/>
              <a:latin typeface="IPA Pゴシック" panose="020B0500000000000000" pitchFamily="50" charset="-128"/>
              <a:ea typeface="IPA Pゴシック" panose="020B0500000000000000" pitchFamily="50" charset="-128"/>
            </a:rPr>
            <a:t>!$A$18,</a:t>
          </a:r>
          <a:r>
            <a:rPr lang="ja-JP" altLang="en-US">
              <a:effectLst/>
              <a:latin typeface="IPA Pゴシック" panose="020B0500000000000000" pitchFamily="50" charset="-128"/>
              <a:ea typeface="IPA Pゴシック" panose="020B0500000000000000" pitchFamily="50" charset="-128"/>
            </a:rPr>
            <a:t>緊急度・対応方針設定</a:t>
          </a:r>
          <a:r>
            <a:rPr lang="en-US" altLang="ja-JP">
              <a:effectLst/>
              <a:latin typeface="IPA Pゴシック" panose="020B0500000000000000" pitchFamily="50" charset="-128"/>
              <a:ea typeface="IPA Pゴシック" panose="020B0500000000000000" pitchFamily="50" charset="-128"/>
            </a:rPr>
            <a:t>!$B$18,</a:t>
          </a:r>
        </a:p>
        <a:p>
          <a:pPr eaLnBrk="1" fontAlgn="auto" latinLnBrk="0" hangingPunct="1"/>
          <a:r>
            <a:rPr lang="en-US" altLang="ja-JP">
              <a:effectLst/>
              <a:latin typeface="IPA Pゴシック" panose="020B0500000000000000" pitchFamily="50" charset="-128"/>
              <a:ea typeface="IPA Pゴシック" panose="020B0500000000000000" pitchFamily="50" charset="-128"/>
            </a:rPr>
            <a:t>[@CVSS</a:t>
          </a:r>
          <a:r>
            <a:rPr lang="ja-JP" altLang="en-US">
              <a:effectLst/>
              <a:latin typeface="IPA Pゴシック" panose="020B0500000000000000" pitchFamily="50" charset="-128"/>
              <a:ea typeface="IPA Pゴシック" panose="020B0500000000000000" pitchFamily="50" charset="-128"/>
            </a:rPr>
            <a:t>評価はいくつか（現状値</a:t>
          </a:r>
          <a:r>
            <a:rPr lang="en-US" altLang="ja-JP">
              <a:effectLst/>
              <a:latin typeface="IPA Pゴシック" panose="020B0500000000000000" pitchFamily="50" charset="-128"/>
              <a:ea typeface="IPA Pゴシック" panose="020B0500000000000000" pitchFamily="50" charset="-128"/>
            </a:rPr>
            <a:t>or</a:t>
          </a:r>
          <a:r>
            <a:rPr lang="ja-JP" altLang="en-US">
              <a:effectLst/>
              <a:latin typeface="IPA Pゴシック" panose="020B0500000000000000" pitchFamily="50" charset="-128"/>
              <a:ea typeface="IPA Pゴシック" panose="020B0500000000000000" pitchFamily="50" charset="-128"/>
            </a:rPr>
            <a:t>環境値）</a:t>
          </a:r>
          <a:r>
            <a:rPr lang="en-US" altLang="ja-JP">
              <a:effectLst/>
              <a:latin typeface="IPA Pゴシック" panose="020B0500000000000000" pitchFamily="50" charset="-128"/>
              <a:ea typeface="IPA Pゴシック" panose="020B0500000000000000" pitchFamily="50" charset="-128"/>
            </a:rPr>
            <a:t>]=</a:t>
          </a:r>
          <a:r>
            <a:rPr lang="ja-JP" altLang="en-US">
              <a:effectLst/>
              <a:latin typeface="IPA Pゴシック" panose="020B0500000000000000" pitchFamily="50" charset="-128"/>
              <a:ea typeface="IPA Pゴシック" panose="020B0500000000000000" pitchFamily="50" charset="-128"/>
            </a:rPr>
            <a:t>緊急度・対応方針設定</a:t>
          </a:r>
          <a:r>
            <a:rPr lang="en-US" altLang="ja-JP">
              <a:effectLst/>
              <a:latin typeface="IPA Pゴシック" panose="020B0500000000000000" pitchFamily="50" charset="-128"/>
              <a:ea typeface="IPA Pゴシック" panose="020B0500000000000000" pitchFamily="50" charset="-128"/>
            </a:rPr>
            <a:t>!$A$6,</a:t>
          </a:r>
          <a:r>
            <a:rPr lang="ja-JP" altLang="en-US">
              <a:effectLst/>
              <a:latin typeface="IPA Pゴシック" panose="020B0500000000000000" pitchFamily="50" charset="-128"/>
              <a:ea typeface="IPA Pゴシック" panose="020B0500000000000000" pitchFamily="50" charset="-128"/>
            </a:rPr>
            <a:t>緊急度・対応方針設定</a:t>
          </a:r>
          <a:r>
            <a:rPr lang="en-US" altLang="ja-JP">
              <a:effectLst/>
              <a:latin typeface="IPA Pゴシック" panose="020B0500000000000000" pitchFamily="50" charset="-128"/>
              <a:ea typeface="IPA Pゴシック" panose="020B0500000000000000" pitchFamily="50" charset="-128"/>
            </a:rPr>
            <a:t>!$B$6,</a:t>
          </a:r>
        </a:p>
        <a:p>
          <a:pPr eaLnBrk="1" fontAlgn="auto" latinLnBrk="0" hangingPunct="1"/>
          <a:r>
            <a:rPr lang="en-US" altLang="ja-JP">
              <a:effectLst/>
              <a:latin typeface="IPA Pゴシック" panose="020B0500000000000000" pitchFamily="50" charset="-128"/>
              <a:ea typeface="IPA Pゴシック" panose="020B0500000000000000" pitchFamily="50" charset="-128"/>
            </a:rPr>
            <a:t>[@</a:t>
          </a:r>
          <a:r>
            <a:rPr lang="ja-JP" altLang="en-US">
              <a:effectLst/>
              <a:latin typeface="IPA Pゴシック" panose="020B0500000000000000" pitchFamily="50" charset="-128"/>
              <a:ea typeface="IPA Pゴシック" panose="020B0500000000000000" pitchFamily="50" charset="-128"/>
            </a:rPr>
            <a:t>ベンダによる脆弱性の評価はいくつか</a:t>
          </a:r>
          <a:r>
            <a:rPr lang="en-US" altLang="ja-JP">
              <a:effectLst/>
              <a:latin typeface="IPA Pゴシック" panose="020B0500000000000000" pitchFamily="50" charset="-128"/>
              <a:ea typeface="IPA Pゴシック" panose="020B0500000000000000" pitchFamily="50" charset="-128"/>
            </a:rPr>
            <a:t>]=</a:t>
          </a:r>
          <a:r>
            <a:rPr lang="ja-JP" altLang="en-US">
              <a:effectLst/>
              <a:latin typeface="IPA Pゴシック" panose="020B0500000000000000" pitchFamily="50" charset="-128"/>
              <a:ea typeface="IPA Pゴシック" panose="020B0500000000000000" pitchFamily="50" charset="-128"/>
            </a:rPr>
            <a:t>緊急度・対応方針設定</a:t>
          </a:r>
          <a:r>
            <a:rPr lang="en-US" altLang="ja-JP">
              <a:effectLst/>
              <a:latin typeface="IPA Pゴシック" panose="020B0500000000000000" pitchFamily="50" charset="-128"/>
              <a:ea typeface="IPA Pゴシック" panose="020B0500000000000000" pitchFamily="50" charset="-128"/>
            </a:rPr>
            <a:t>!$A$19,</a:t>
          </a:r>
          <a:r>
            <a:rPr lang="ja-JP" altLang="en-US">
              <a:effectLst/>
              <a:latin typeface="IPA Pゴシック" panose="020B0500000000000000" pitchFamily="50" charset="-128"/>
              <a:ea typeface="IPA Pゴシック" panose="020B0500000000000000" pitchFamily="50" charset="-128"/>
            </a:rPr>
            <a:t>緊急度・対応方針設定</a:t>
          </a:r>
          <a:r>
            <a:rPr lang="en-US" altLang="ja-JP">
              <a:effectLst/>
              <a:latin typeface="IPA Pゴシック" panose="020B0500000000000000" pitchFamily="50" charset="-128"/>
              <a:ea typeface="IPA Pゴシック" panose="020B0500000000000000" pitchFamily="50" charset="-128"/>
            </a:rPr>
            <a:t>!$B$19,</a:t>
          </a:r>
        </a:p>
        <a:p>
          <a:pPr eaLnBrk="1" fontAlgn="auto" latinLnBrk="0" hangingPunct="1"/>
          <a:r>
            <a:rPr lang="en-US" altLang="ja-JP">
              <a:effectLst/>
              <a:latin typeface="IPA Pゴシック" panose="020B0500000000000000" pitchFamily="50" charset="-128"/>
              <a:ea typeface="IPA Pゴシック" panose="020B0500000000000000" pitchFamily="50" charset="-128"/>
            </a:rPr>
            <a:t>[@CVSS</a:t>
          </a:r>
          <a:r>
            <a:rPr lang="ja-JP" altLang="en-US">
              <a:effectLst/>
              <a:latin typeface="IPA Pゴシック" panose="020B0500000000000000" pitchFamily="50" charset="-128"/>
              <a:ea typeface="IPA Pゴシック" panose="020B0500000000000000" pitchFamily="50" charset="-128"/>
            </a:rPr>
            <a:t>評価はいくつか（現状値</a:t>
          </a:r>
          <a:r>
            <a:rPr lang="en-US" altLang="ja-JP">
              <a:effectLst/>
              <a:latin typeface="IPA Pゴシック" panose="020B0500000000000000" pitchFamily="50" charset="-128"/>
              <a:ea typeface="IPA Pゴシック" panose="020B0500000000000000" pitchFamily="50" charset="-128"/>
            </a:rPr>
            <a:t>or</a:t>
          </a:r>
          <a:r>
            <a:rPr lang="ja-JP" altLang="en-US">
              <a:effectLst/>
              <a:latin typeface="IPA Pゴシック" panose="020B0500000000000000" pitchFamily="50" charset="-128"/>
              <a:ea typeface="IPA Pゴシック" panose="020B0500000000000000" pitchFamily="50" charset="-128"/>
            </a:rPr>
            <a:t>環境値）</a:t>
          </a:r>
          <a:r>
            <a:rPr lang="en-US" altLang="ja-JP">
              <a:effectLst/>
              <a:latin typeface="IPA Pゴシック" panose="020B0500000000000000" pitchFamily="50" charset="-128"/>
              <a:ea typeface="IPA Pゴシック" panose="020B0500000000000000" pitchFamily="50" charset="-128"/>
            </a:rPr>
            <a:t>]=</a:t>
          </a:r>
          <a:r>
            <a:rPr lang="ja-JP" altLang="en-US">
              <a:effectLst/>
              <a:latin typeface="IPA Pゴシック" panose="020B0500000000000000" pitchFamily="50" charset="-128"/>
              <a:ea typeface="IPA Pゴシック" panose="020B0500000000000000" pitchFamily="50" charset="-128"/>
            </a:rPr>
            <a:t>緊急度・対応方針設定</a:t>
          </a:r>
          <a:r>
            <a:rPr lang="en-US" altLang="ja-JP">
              <a:effectLst/>
              <a:latin typeface="IPA Pゴシック" panose="020B0500000000000000" pitchFamily="50" charset="-128"/>
              <a:ea typeface="IPA Pゴシック" panose="020B0500000000000000" pitchFamily="50" charset="-128"/>
            </a:rPr>
            <a:t>!$A$7,</a:t>
          </a:r>
          <a:r>
            <a:rPr lang="ja-JP" altLang="en-US">
              <a:effectLst/>
              <a:latin typeface="IPA Pゴシック" panose="020B0500000000000000" pitchFamily="50" charset="-128"/>
              <a:ea typeface="IPA Pゴシック" panose="020B0500000000000000" pitchFamily="50" charset="-128"/>
            </a:rPr>
            <a:t>緊急度・対応方針設定</a:t>
          </a:r>
          <a:r>
            <a:rPr lang="en-US" altLang="ja-JP">
              <a:effectLst/>
              <a:latin typeface="IPA Pゴシック" panose="020B0500000000000000" pitchFamily="50" charset="-128"/>
              <a:ea typeface="IPA Pゴシック" panose="020B0500000000000000" pitchFamily="50" charset="-128"/>
            </a:rPr>
            <a:t>!$B$7,</a:t>
          </a:r>
        </a:p>
        <a:p>
          <a:pPr eaLnBrk="1" fontAlgn="auto" latinLnBrk="0" hangingPunct="1"/>
          <a:r>
            <a:rPr lang="en-US" altLang="ja-JP">
              <a:effectLst/>
              <a:latin typeface="IPA Pゴシック" panose="020B0500000000000000" pitchFamily="50" charset="-128"/>
              <a:ea typeface="IPA Pゴシック" panose="020B0500000000000000" pitchFamily="50" charset="-128"/>
            </a:rPr>
            <a:t>[@</a:t>
          </a:r>
          <a:r>
            <a:rPr lang="ja-JP" altLang="en-US">
              <a:effectLst/>
              <a:latin typeface="IPA Pゴシック" panose="020B0500000000000000" pitchFamily="50" charset="-128"/>
              <a:ea typeface="IPA Pゴシック" panose="020B0500000000000000" pitchFamily="50" charset="-128"/>
            </a:rPr>
            <a:t>ベンダによる脆弱性の評価はいくつか</a:t>
          </a:r>
          <a:r>
            <a:rPr lang="en-US" altLang="ja-JP">
              <a:effectLst/>
              <a:latin typeface="IPA Pゴシック" panose="020B0500000000000000" pitchFamily="50" charset="-128"/>
              <a:ea typeface="IPA Pゴシック" panose="020B0500000000000000" pitchFamily="50" charset="-128"/>
            </a:rPr>
            <a:t>]=</a:t>
          </a:r>
          <a:r>
            <a:rPr lang="ja-JP" altLang="en-US">
              <a:effectLst/>
              <a:latin typeface="IPA Pゴシック" panose="020B0500000000000000" pitchFamily="50" charset="-128"/>
              <a:ea typeface="IPA Pゴシック" panose="020B0500000000000000" pitchFamily="50" charset="-128"/>
            </a:rPr>
            <a:t>緊急度・対応方針設定</a:t>
          </a:r>
          <a:r>
            <a:rPr lang="en-US" altLang="ja-JP">
              <a:effectLst/>
              <a:latin typeface="IPA Pゴシック" panose="020B0500000000000000" pitchFamily="50" charset="-128"/>
              <a:ea typeface="IPA Pゴシック" panose="020B0500000000000000" pitchFamily="50" charset="-128"/>
            </a:rPr>
            <a:t>!$A$20,</a:t>
          </a:r>
          <a:r>
            <a:rPr lang="ja-JP" altLang="en-US">
              <a:effectLst/>
              <a:latin typeface="IPA Pゴシック" panose="020B0500000000000000" pitchFamily="50" charset="-128"/>
              <a:ea typeface="IPA Pゴシック" panose="020B0500000000000000" pitchFamily="50" charset="-128"/>
            </a:rPr>
            <a:t>緊急度・対応方針設定</a:t>
          </a:r>
          <a:r>
            <a:rPr lang="en-US" altLang="ja-JP">
              <a:effectLst/>
              <a:latin typeface="IPA Pゴシック" panose="020B0500000000000000" pitchFamily="50" charset="-128"/>
              <a:ea typeface="IPA Pゴシック" panose="020B0500000000000000" pitchFamily="50" charset="-128"/>
            </a:rPr>
            <a:t>!$B$20,</a:t>
          </a:r>
        </a:p>
        <a:p>
          <a:pPr eaLnBrk="1" fontAlgn="auto" latinLnBrk="0" hangingPunct="1"/>
          <a:r>
            <a:rPr lang="en-US" altLang="ja-JP">
              <a:effectLst/>
              <a:latin typeface="IPA Pゴシック" panose="020B0500000000000000" pitchFamily="50" charset="-128"/>
              <a:ea typeface="IPA Pゴシック" panose="020B0500000000000000" pitchFamily="50" charset="-128"/>
            </a:rPr>
            <a:t>[@CVSS</a:t>
          </a:r>
          <a:r>
            <a:rPr lang="ja-JP" altLang="en-US">
              <a:effectLst/>
              <a:latin typeface="IPA Pゴシック" panose="020B0500000000000000" pitchFamily="50" charset="-128"/>
              <a:ea typeface="IPA Pゴシック" panose="020B0500000000000000" pitchFamily="50" charset="-128"/>
            </a:rPr>
            <a:t>評価はいくつか（現状値</a:t>
          </a:r>
          <a:r>
            <a:rPr lang="en-US" altLang="ja-JP">
              <a:effectLst/>
              <a:latin typeface="IPA Pゴシック" panose="020B0500000000000000" pitchFamily="50" charset="-128"/>
              <a:ea typeface="IPA Pゴシック" panose="020B0500000000000000" pitchFamily="50" charset="-128"/>
            </a:rPr>
            <a:t>or</a:t>
          </a:r>
          <a:r>
            <a:rPr lang="ja-JP" altLang="en-US">
              <a:effectLst/>
              <a:latin typeface="IPA Pゴシック" panose="020B0500000000000000" pitchFamily="50" charset="-128"/>
              <a:ea typeface="IPA Pゴシック" panose="020B0500000000000000" pitchFamily="50" charset="-128"/>
            </a:rPr>
            <a:t>環境値）</a:t>
          </a:r>
          <a:r>
            <a:rPr lang="en-US" altLang="ja-JP">
              <a:effectLst/>
              <a:latin typeface="IPA Pゴシック" panose="020B0500000000000000" pitchFamily="50" charset="-128"/>
              <a:ea typeface="IPA Pゴシック" panose="020B0500000000000000" pitchFamily="50" charset="-128"/>
            </a:rPr>
            <a:t>]=</a:t>
          </a:r>
          <a:r>
            <a:rPr lang="ja-JP" altLang="en-US">
              <a:effectLst/>
              <a:latin typeface="IPA Pゴシック" panose="020B0500000000000000" pitchFamily="50" charset="-128"/>
              <a:ea typeface="IPA Pゴシック" panose="020B0500000000000000" pitchFamily="50" charset="-128"/>
            </a:rPr>
            <a:t>緊急度・対応方針設定</a:t>
          </a:r>
          <a:r>
            <a:rPr lang="en-US" altLang="ja-JP">
              <a:effectLst/>
              <a:latin typeface="IPA Pゴシック" panose="020B0500000000000000" pitchFamily="50" charset="-128"/>
              <a:ea typeface="IPA Pゴシック" panose="020B0500000000000000" pitchFamily="50" charset="-128"/>
            </a:rPr>
            <a:t>!$A$8,</a:t>
          </a:r>
          <a:r>
            <a:rPr lang="ja-JP" altLang="en-US">
              <a:effectLst/>
              <a:latin typeface="IPA Pゴシック" panose="020B0500000000000000" pitchFamily="50" charset="-128"/>
              <a:ea typeface="IPA Pゴシック" panose="020B0500000000000000" pitchFamily="50" charset="-128"/>
            </a:rPr>
            <a:t>緊急度・対応方針設定</a:t>
          </a:r>
          <a:r>
            <a:rPr lang="en-US" altLang="ja-JP">
              <a:effectLst/>
              <a:latin typeface="IPA Pゴシック" panose="020B0500000000000000" pitchFamily="50" charset="-128"/>
              <a:ea typeface="IPA Pゴシック" panose="020B0500000000000000" pitchFamily="50" charset="-128"/>
            </a:rPr>
            <a:t>!$B$8,</a:t>
          </a:r>
        </a:p>
        <a:p>
          <a:pPr eaLnBrk="1" fontAlgn="auto" latinLnBrk="0" hangingPunct="1"/>
          <a:r>
            <a:rPr lang="en-US" altLang="ja-JP">
              <a:effectLst/>
              <a:latin typeface="IPA Pゴシック" panose="020B0500000000000000" pitchFamily="50" charset="-128"/>
              <a:ea typeface="IPA Pゴシック" panose="020B0500000000000000" pitchFamily="50" charset="-128"/>
            </a:rPr>
            <a:t>[@</a:t>
          </a:r>
          <a:r>
            <a:rPr lang="ja-JP" altLang="en-US">
              <a:effectLst/>
              <a:latin typeface="IPA Pゴシック" panose="020B0500000000000000" pitchFamily="50" charset="-128"/>
              <a:ea typeface="IPA Pゴシック" panose="020B0500000000000000" pitchFamily="50" charset="-128"/>
            </a:rPr>
            <a:t>ベンダによる脆弱性の評価はいくつか</a:t>
          </a:r>
          <a:r>
            <a:rPr lang="en-US" altLang="ja-JP">
              <a:effectLst/>
              <a:latin typeface="IPA Pゴシック" panose="020B0500000000000000" pitchFamily="50" charset="-128"/>
              <a:ea typeface="IPA Pゴシック" panose="020B0500000000000000" pitchFamily="50" charset="-128"/>
            </a:rPr>
            <a:t>]=</a:t>
          </a:r>
          <a:r>
            <a:rPr lang="ja-JP" altLang="en-US">
              <a:effectLst/>
              <a:latin typeface="IPA Pゴシック" panose="020B0500000000000000" pitchFamily="50" charset="-128"/>
              <a:ea typeface="IPA Pゴシック" panose="020B0500000000000000" pitchFamily="50" charset="-128"/>
            </a:rPr>
            <a:t>緊急度・対応方針設定</a:t>
          </a:r>
          <a:r>
            <a:rPr lang="en-US" altLang="ja-JP">
              <a:effectLst/>
              <a:latin typeface="IPA Pゴシック" panose="020B0500000000000000" pitchFamily="50" charset="-128"/>
              <a:ea typeface="IPA Pゴシック" panose="020B0500000000000000" pitchFamily="50" charset="-128"/>
            </a:rPr>
            <a:t>!$A$21,</a:t>
          </a:r>
          <a:r>
            <a:rPr lang="ja-JP" altLang="en-US">
              <a:effectLst/>
              <a:latin typeface="IPA Pゴシック" panose="020B0500000000000000" pitchFamily="50" charset="-128"/>
              <a:ea typeface="IPA Pゴシック" panose="020B0500000000000000" pitchFamily="50" charset="-128"/>
            </a:rPr>
            <a:t>緊急度・対応方針設定</a:t>
          </a:r>
          <a:r>
            <a:rPr lang="en-US" altLang="ja-JP">
              <a:effectLst/>
              <a:latin typeface="IPA Pゴシック" panose="020B0500000000000000" pitchFamily="50" charset="-128"/>
              <a:ea typeface="IPA Pゴシック" panose="020B0500000000000000" pitchFamily="50" charset="-128"/>
            </a:rPr>
            <a:t>!$B$21</a:t>
          </a:r>
        </a:p>
        <a:p>
          <a:pPr eaLnBrk="1" fontAlgn="auto" latinLnBrk="0" hangingPunct="1"/>
          <a:r>
            <a:rPr lang="en-US" altLang="ja-JP">
              <a:effectLst/>
              <a:latin typeface="IPA Pゴシック" panose="020B0500000000000000" pitchFamily="50" charset="-128"/>
              <a:ea typeface="IPA Pゴシック" panose="020B0500000000000000" pitchFamily="50" charset="-128"/>
            </a:rPr>
            <a:t>),"")</a:t>
          </a:r>
          <a:endParaRPr lang="en-US" altLang="ja-JP" sz="1100" b="0" u="none" baseline="0">
            <a:solidFill>
              <a:schemeClr val="dk1"/>
            </a:solidFill>
            <a:effectLst/>
            <a:latin typeface="IPA Pゴシック" panose="020B0500000000000000" pitchFamily="50" charset="-128"/>
            <a:ea typeface="IPA Pゴシック" panose="020B0500000000000000" pitchFamily="50" charset="-128"/>
            <a:cs typeface="+mn-cs"/>
          </a:endParaRPr>
        </a:p>
      </xdr:txBody>
    </xdr:sp>
    <xdr:clientData fLocksWithSheet="0" fPrintsWithSheet="0"/>
  </xdr:twoCellAnchor>
  <xdr:twoCellAnchor editAs="absolute">
    <xdr:from>
      <xdr:col>22</xdr:col>
      <xdr:colOff>103414</xdr:colOff>
      <xdr:row>3</xdr:row>
      <xdr:rowOff>156480</xdr:rowOff>
    </xdr:from>
    <xdr:to>
      <xdr:col>27</xdr:col>
      <xdr:colOff>800101</xdr:colOff>
      <xdr:row>9</xdr:row>
      <xdr:rowOff>38100</xdr:rowOff>
    </xdr:to>
    <xdr:sp macro="" textlink="">
      <xdr:nvSpPr>
        <xdr:cNvPr id="7" name="四角形: 角を丸くする 6">
          <a:extLst>
            <a:ext uri="{FF2B5EF4-FFF2-40B4-BE49-F238E27FC236}">
              <a16:creationId xmlns:a16="http://schemas.microsoft.com/office/drawing/2014/main" id="{36F7340D-5D5E-4B7D-BEEC-082FF718D543}"/>
            </a:ext>
          </a:extLst>
        </xdr:cNvPr>
        <xdr:cNvSpPr>
          <a:spLocks noChangeAspect="1"/>
        </xdr:cNvSpPr>
      </xdr:nvSpPr>
      <xdr:spPr>
        <a:xfrm>
          <a:off x="22725289" y="899430"/>
          <a:ext cx="4744812" cy="1567545"/>
        </a:xfrm>
        <a:prstGeom prst="roundRect">
          <a:avLst>
            <a:gd name="adj" fmla="val 0"/>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参考情報</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p>
        <a:p>
          <a:pPr eaLnBrk="1" fontAlgn="auto" latinLnBrk="0" hangingPunct="1"/>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CVSS</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の概要や</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CVSS</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評価ツールの詳細は以下の資料を参照します。</a:t>
          </a:r>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eaLnBrk="1" fontAlgn="auto" latinLnBrk="0" hangingPunct="1"/>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eaLnBrk="1" fontAlgn="auto" latinLnBrk="0" hangingPunct="1"/>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■IPA</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テクニカルウォッチ「脆弱性対策の効果的な進め方（実践編）第</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2</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版」</a:t>
          </a:r>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eaLnBrk="1" fontAlgn="auto" latinLnBrk="0" hangingPunct="1"/>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2.2.3. </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共通脆弱性評価システム</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CVSS </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とは</a:t>
          </a:r>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eaLnBrk="1" fontAlgn="auto" latinLnBrk="0" hangingPunct="1"/>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3.5. </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CVSS </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計算ソフトウェア」 </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 </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脆弱性の自組織への影響度の確認に </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p>
        <a:p>
          <a:pPr eaLnBrk="1" fontAlgn="auto" latinLnBrk="0" hangingPunct="1"/>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https://www.ipa.go.jp/security/technicalwatch/20150331.html</a:t>
          </a:r>
        </a:p>
      </xdr:txBody>
    </xdr:sp>
    <xdr:clientData fLocksWithSheet="0" fPrintsWithSheet="0"/>
  </xdr:twoCellAnchor>
  <xdr:twoCellAnchor editAs="absolute">
    <xdr:from>
      <xdr:col>16</xdr:col>
      <xdr:colOff>133350</xdr:colOff>
      <xdr:row>3</xdr:row>
      <xdr:rowOff>161925</xdr:rowOff>
    </xdr:from>
    <xdr:to>
      <xdr:col>22</xdr:col>
      <xdr:colOff>0</xdr:colOff>
      <xdr:row>4</xdr:row>
      <xdr:rowOff>485775</xdr:rowOff>
    </xdr:to>
    <xdr:sp macro="" textlink="">
      <xdr:nvSpPr>
        <xdr:cNvPr id="6" name="四角形: 角を丸くする 5">
          <a:extLst>
            <a:ext uri="{FF2B5EF4-FFF2-40B4-BE49-F238E27FC236}">
              <a16:creationId xmlns:a16="http://schemas.microsoft.com/office/drawing/2014/main" id="{A02AE34A-D6FF-4208-8D8F-33B48BDBE554}"/>
            </a:ext>
          </a:extLst>
        </xdr:cNvPr>
        <xdr:cNvSpPr>
          <a:spLocks noChangeAspect="1"/>
        </xdr:cNvSpPr>
      </xdr:nvSpPr>
      <xdr:spPr>
        <a:xfrm>
          <a:off x="17897475" y="904875"/>
          <a:ext cx="4724400" cy="504825"/>
        </a:xfrm>
        <a:prstGeom prst="roundRect">
          <a:avLst>
            <a:gd name="adj" fmla="val 0"/>
          </a:avLst>
        </a:prstGeom>
        <a:solidFill>
          <a:schemeClr val="accent5">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100" b="0">
              <a:solidFill>
                <a:schemeClr val="dk1"/>
              </a:solidFill>
              <a:effectLst/>
              <a:latin typeface="IPA Pゴシック" panose="020B0500000000000000" pitchFamily="50" charset="-128"/>
              <a:ea typeface="IPA Pゴシック" panose="020B0500000000000000" pitchFamily="50" charset="-128"/>
              <a:cs typeface="+mn-cs"/>
            </a:rPr>
            <a:t>【</a:t>
          </a:r>
          <a:r>
            <a:rPr kumimoji="1" lang="ja-JP" altLang="en-US" sz="1100" b="0">
              <a:solidFill>
                <a:schemeClr val="dk1"/>
              </a:solidFill>
              <a:effectLst/>
              <a:latin typeface="IPA Pゴシック" panose="020B0500000000000000" pitchFamily="50" charset="-128"/>
              <a:ea typeface="IPA Pゴシック" panose="020B0500000000000000" pitchFamily="50" charset="-128"/>
              <a:cs typeface="+mn-cs"/>
            </a:rPr>
            <a:t>初回作業</a:t>
          </a:r>
          <a:r>
            <a:rPr kumimoji="1" lang="en-US" altLang="ja-JP" sz="1100" b="0">
              <a:solidFill>
                <a:schemeClr val="dk1"/>
              </a:solidFill>
              <a:effectLst/>
              <a:latin typeface="IPA Pゴシック" panose="020B0500000000000000" pitchFamily="50" charset="-128"/>
              <a:ea typeface="IPA Pゴシック" panose="020B0500000000000000" pitchFamily="50" charset="-128"/>
              <a:cs typeface="+mn-cs"/>
            </a:rPr>
            <a:t>】</a:t>
          </a:r>
        </a:p>
        <a:p>
          <a:r>
            <a:rPr kumimoji="1" lang="ja-JP" altLang="en-US" sz="1100" b="0">
              <a:solidFill>
                <a:schemeClr val="dk1"/>
              </a:solidFill>
              <a:effectLst/>
              <a:latin typeface="IPA Pゴシック" panose="020B0500000000000000" pitchFamily="50" charset="-128"/>
              <a:ea typeface="IPA Pゴシック" panose="020B0500000000000000" pitchFamily="50" charset="-128"/>
              <a:cs typeface="+mn-cs"/>
            </a:rPr>
            <a:t>編集しません。</a:t>
          </a:r>
          <a:endParaRPr lang="ja-JP" altLang="ja-JP" b="0">
            <a:effectLst/>
            <a:latin typeface="IPA Pゴシック" panose="020B0500000000000000" pitchFamily="50" charset="-128"/>
            <a:ea typeface="IPA Pゴシック" panose="020B0500000000000000" pitchFamily="50" charset="-128"/>
          </a:endParaRPr>
        </a:p>
      </xdr:txBody>
    </xdr:sp>
    <xdr:clientData fLocksWithSheet="0" fPrintsWithSheet="0"/>
  </xdr:twoCellAnchor>
</xdr:wsDr>
</file>

<file path=xl/drawings/drawing9.xml><?xml version="1.0" encoding="utf-8"?>
<xdr:wsDr xmlns:xdr="http://schemas.openxmlformats.org/drawingml/2006/spreadsheetDrawing" xmlns:a="http://schemas.openxmlformats.org/drawingml/2006/main">
  <xdr:twoCellAnchor editAs="absolute">
    <xdr:from>
      <xdr:col>7</xdr:col>
      <xdr:colOff>126092</xdr:colOff>
      <xdr:row>3</xdr:row>
      <xdr:rowOff>152849</xdr:rowOff>
    </xdr:from>
    <xdr:to>
      <xdr:col>13</xdr:col>
      <xdr:colOff>0</xdr:colOff>
      <xdr:row>25</xdr:row>
      <xdr:rowOff>9525</xdr:rowOff>
    </xdr:to>
    <xdr:sp macro="" textlink="">
      <xdr:nvSpPr>
        <xdr:cNvPr id="2" name="四角形: 角を丸くする 1">
          <a:extLst>
            <a:ext uri="{FF2B5EF4-FFF2-40B4-BE49-F238E27FC236}">
              <a16:creationId xmlns:a16="http://schemas.microsoft.com/office/drawing/2014/main" id="{63510D44-FD44-43DC-B2A8-6D9631591D8A}"/>
            </a:ext>
          </a:extLst>
        </xdr:cNvPr>
        <xdr:cNvSpPr>
          <a:spLocks noChangeAspect="1"/>
        </xdr:cNvSpPr>
      </xdr:nvSpPr>
      <xdr:spPr>
        <a:xfrm>
          <a:off x="12794342" y="1162499"/>
          <a:ext cx="4731658" cy="7610026"/>
        </a:xfrm>
        <a:prstGeom prst="roundRect">
          <a:avLst>
            <a:gd name="adj" fmla="val 0"/>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定期作業</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脆弱性対策の適用判断</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①　前回の収集結果を削除するため</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G</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列のデータを削除します。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②　</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F</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列に、「脆弱性の影響度確認」シートまでで記入した結</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果が自動入力されていることを確認します。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③　</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B</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列（確認が必要なソフトウェア）に、最新バージョンが公開</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されたまたは脆弱性が確認されたソフトウェアが表示されている</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ことを確認します。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④　脆弱性が確認されたソフトウェアは行を赤で塗りつぶします。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自動で赤に塗りつぶす設定は「ホーム」タブの「条件付き書式」</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「ルールの管理」で確認できます。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⑤　</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C</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列（最新バージョン）に、最新バージョンが公開されたソフ</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トウェアの最新バージョン情報が表示されていることを確認しま</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⑥　</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D</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列（脆弱性情報参考</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URL</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）に、脆弱性が確認されたソフトウェ</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アの脆弱性関連情報（「脆弱性関連情報の確認」シートの収集情</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報</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1</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）が表示されていることを確認します。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⑦　</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E</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列（脆弱性の緊急度）に、「緊急度・対応方針設定」シート</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で設定した緊急度が正しく表示されていることを確認します。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⑧　</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F</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列（対応方針目安）に、「緊急度・対応方針設定」シートで</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設定した対応方針目安が正しく表示されていることを確認します。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また、最新バージョンが公開されたが脆弱性は確認されていない</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場合は「随時更新（脆弱性なし）」が表示されることを確認しま</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⑨　</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G</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列（備考）は、「緊急度・対応方針設定」シートで設定した</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項目がプルダウンに表示されることを確認し、必要に応じて項目</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を選択します。</a:t>
          </a:r>
        </a:p>
        <a:p>
          <a:pPr marL="0" marR="0" lvl="0" indent="0" defTabSz="914400" eaLnBrk="1" fontAlgn="auto" latinLnBrk="0" hangingPunct="1">
            <a:lnSpc>
              <a:spcPct val="100000"/>
            </a:lnSpc>
            <a:spcBef>
              <a:spcPts val="0"/>
            </a:spcBef>
            <a:spcAft>
              <a:spcPts val="0"/>
            </a:spcAft>
            <a:buClrTx/>
            <a:buSzTx/>
            <a:buFontTx/>
            <a:buNone/>
            <a:tabLst/>
            <a:defRPr/>
          </a:pPr>
          <a:endPar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■対応方針を基に「計画」へ</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F</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列（対応方針）の情報を基に「計画」段階へと進めます。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以降の作業は、</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IPA</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テクニカルウォッチ「脆弱性対策の効果的な</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進め方（ツール活用編）」を参照します。</a:t>
          </a:r>
        </a:p>
        <a:p>
          <a:pPr marL="0" marR="0" lvl="0" indent="0" defTabSz="914400" eaLnBrk="1" fontAlgn="auto" latinLnBrk="0" hangingPunct="1">
            <a:lnSpc>
              <a:spcPct val="100000"/>
            </a:lnSpc>
            <a:spcBef>
              <a:spcPts val="0"/>
            </a:spcBef>
            <a:spcAft>
              <a:spcPts val="0"/>
            </a:spcAft>
            <a:buClrTx/>
            <a:buSzTx/>
            <a:buFontTx/>
            <a:buNone/>
            <a:tabLst/>
            <a:defRPr/>
          </a:pPr>
          <a:endPar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IPA</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テクニカルウォッチ「脆弱性対策の効果的な進め方</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　（ツール活用編）」</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https://www.ipa.go.jp/security/technicalwatch/20190221.html</a:t>
          </a:r>
        </a:p>
      </xdr:txBody>
    </xdr:sp>
    <xdr:clientData fPrintsWithSheet="0"/>
  </xdr:twoCellAnchor>
  <xdr:twoCellAnchor editAs="absolute">
    <xdr:from>
      <xdr:col>13</xdr:col>
      <xdr:colOff>119741</xdr:colOff>
      <xdr:row>6</xdr:row>
      <xdr:rowOff>187902</xdr:rowOff>
    </xdr:from>
    <xdr:to>
      <xdr:col>19</xdr:col>
      <xdr:colOff>0</xdr:colOff>
      <xdr:row>27</xdr:row>
      <xdr:rowOff>352424</xdr:rowOff>
    </xdr:to>
    <xdr:sp macro="" textlink="">
      <xdr:nvSpPr>
        <xdr:cNvPr id="6" name="四角形: 角を丸くする 5">
          <a:extLst>
            <a:ext uri="{FF2B5EF4-FFF2-40B4-BE49-F238E27FC236}">
              <a16:creationId xmlns:a16="http://schemas.microsoft.com/office/drawing/2014/main" id="{702C3E6A-BADE-40E8-B39A-496E7873E75C}"/>
            </a:ext>
          </a:extLst>
        </xdr:cNvPr>
        <xdr:cNvSpPr>
          <a:spLocks noChangeAspect="1"/>
        </xdr:cNvSpPr>
      </xdr:nvSpPr>
      <xdr:spPr>
        <a:xfrm>
          <a:off x="17645741" y="2254827"/>
          <a:ext cx="4738009" cy="7565447"/>
        </a:xfrm>
        <a:prstGeom prst="roundRect">
          <a:avLst>
            <a:gd name="adj" fmla="val 0"/>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関数作成例</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・関数が入力されたセルに誤入力等して関数を消してしまった場合に使います。</a:t>
          </a: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a:t>
          </a:r>
          <a:r>
            <a:rPr lang="ja-JP"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=IFERROR(INDEX(</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脆弱性関連情報の確認</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!$A$4:$B$500,MATCH(LARGE((</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脆弱性関連情報の確認</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!$J$4:$J$500="○")*1/ROW(</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バージョン情報の確認</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!$A$4:$A$500),ROWS(</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脆弱性対策の適用判断</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!$A$4:$A4)),1/ROW(</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脆弱性関連情報の確認</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!$A$4:$A$500),0),COLUMNS(</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脆弱性関連情報の確認</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!$A$1:A$1)),"")</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B</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a:t>
          </a:r>
          <a:r>
            <a:rPr lang="ja-JP"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=IFERROR(INDEX(</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脆弱性関連情報の確認</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!$A$4:$B$500,MATCH(LARGE((</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脆弱性関連情報の確認</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!$J$4:$J$500="○")*1/ROW(</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バージョン情報の確認</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!$A$4:$A$500),ROWS(</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脆弱性対策の適用判断</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!$A$4:$A4)),1/ROW(</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脆弱性関連情報の確認</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!$A$4:$A$500),0),COLUMNS(</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脆弱性関連情報の確認</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!$A$1:B$1)),"")</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C</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a:t>
          </a:r>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=IFERROR(IF(VLOOKUP($B4,</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バージョン情報の確認</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!$B$4:$G$1048576,3,0)=VLOOKUP($B4,</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バージョン情報の確認</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!$B$4:$G$1048576,5,0),"",VLOOKUP($B4,</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バージョン情報の確認</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!$B$4:$G$1048576,5,0)),"")</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D</a:t>
          </a:r>
          <a:r>
            <a:rPr lang="ja-JP" altLang="ja-JP" sz="1100" b="0" baseline="0">
              <a:solidFill>
                <a:schemeClr val="dk1"/>
              </a:solidFill>
              <a:effectLst/>
              <a:latin typeface="IPA Pゴシック" panose="020B0500000000000000" pitchFamily="50" charset="-128"/>
              <a:ea typeface="IPA Pゴシック" panose="020B0500000000000000" pitchFamily="50" charset="-128"/>
              <a:cs typeface="+mn-cs"/>
            </a:rPr>
            <a:t>列：</a:t>
          </a:r>
          <a:endParaRPr lang="ja-JP" altLang="ja-JP">
            <a:effectLst/>
            <a:latin typeface="IPA Pゴシック" panose="020B0500000000000000" pitchFamily="50" charset="-128"/>
            <a:ea typeface="IPA Pゴシック" panose="020B05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=HYPERLINK(IFERROR(IF(VLOOKUP($B4,</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テーブル</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17[[</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ソフトウェア</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脆弱性の影響を受けるバージョンか</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]],3,0)="</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〇</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影響を受ける</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",HYPERLINK(VLOOKUP($B4,</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テーブル</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13[[</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ソフトウェア</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収集情報</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5]],3,0)),""),""))</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E</a:t>
          </a:r>
          <a:r>
            <a:rPr lang="ja-JP" altLang="ja-JP" sz="1100" b="0" baseline="0">
              <a:solidFill>
                <a:schemeClr val="dk1"/>
              </a:solidFill>
              <a:effectLst/>
              <a:latin typeface="IPA Pゴシック" panose="020B0500000000000000" pitchFamily="50" charset="-128"/>
              <a:ea typeface="IPA Pゴシック" panose="020B0500000000000000" pitchFamily="50" charset="-128"/>
              <a:cs typeface="+mn-cs"/>
            </a:rPr>
            <a:t>列：</a:t>
          </a:r>
          <a:endParaRPr lang="ja-JP" altLang="ja-JP">
            <a:effectLst/>
            <a:latin typeface="IPA Pゴシック" panose="020B0500000000000000" pitchFamily="50" charset="-128"/>
            <a:ea typeface="IPA Pゴシック" panose="020B05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=IFERROR(IF($D4="","",VLOOKUP($B4,</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テーブル</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17[[</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ソフトウェア</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判定</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]],15,0)),"")</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F</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列</a:t>
          </a:r>
          <a:r>
            <a:rPr lang="ja-JP"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endPar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=IFERROR(IFS(</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$E4=</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緊急度・対応方針設定</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!$A$24,</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緊急度・対応方針設定</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!$B$24,</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$E4=</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緊急度・対応方針設定</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!$A$25,</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緊急度・対応方針設定</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!$B$25,</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$E4=</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緊急度・対応方針設定</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!$A$26,</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緊急度・対応方針設定</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!$B$26,</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$E4=</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緊急度・対応方針設定</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!$A$27,</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緊急度・対応方針設定</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!$B$27,</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$E4=</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緊急度・対応方針設定</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!$A$28,</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緊急度・対応方針設定</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!$B$28,</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$C4&lt;&gt;"","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随時更新（脆弱性なし）</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p>
      </xdr:txBody>
    </xdr:sp>
    <xdr:clientData fPrintsWithSheet="0"/>
  </xdr:twoCellAnchor>
  <xdr:twoCellAnchor editAs="absolute">
    <xdr:from>
      <xdr:col>13</xdr:col>
      <xdr:colOff>123825</xdr:colOff>
      <xdr:row>1</xdr:row>
      <xdr:rowOff>276225</xdr:rowOff>
    </xdr:from>
    <xdr:to>
      <xdr:col>19</xdr:col>
      <xdr:colOff>9524</xdr:colOff>
      <xdr:row>6</xdr:row>
      <xdr:rowOff>76200</xdr:rowOff>
    </xdr:to>
    <xdr:sp macro="" textlink="">
      <xdr:nvSpPr>
        <xdr:cNvPr id="5" name="四角形: 角を丸くする 4">
          <a:extLst>
            <a:ext uri="{FF2B5EF4-FFF2-40B4-BE49-F238E27FC236}">
              <a16:creationId xmlns:a16="http://schemas.microsoft.com/office/drawing/2014/main" id="{D65D4D7D-5269-4361-811E-CF4FD8314207}"/>
            </a:ext>
          </a:extLst>
        </xdr:cNvPr>
        <xdr:cNvSpPr>
          <a:spLocks noChangeAspect="1"/>
        </xdr:cNvSpPr>
      </xdr:nvSpPr>
      <xdr:spPr>
        <a:xfrm>
          <a:off x="17649825" y="523875"/>
          <a:ext cx="4743449" cy="1619250"/>
        </a:xfrm>
        <a:prstGeom prst="roundRect">
          <a:avLst>
            <a:gd name="adj" fmla="val 0"/>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参考情報</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CVSS</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の概要や</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CVSS</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評価ツールの詳細は以下の資料を参照します。</a:t>
          </a:r>
        </a:p>
        <a:p>
          <a:pPr marL="0" marR="0" lvl="0" indent="0" defTabSz="914400" eaLnBrk="1" fontAlgn="auto" latinLnBrk="0" hangingPunct="1">
            <a:lnSpc>
              <a:spcPct val="100000"/>
            </a:lnSpc>
            <a:spcBef>
              <a:spcPts val="0"/>
            </a:spcBef>
            <a:spcAft>
              <a:spcPts val="0"/>
            </a:spcAft>
            <a:buClrTx/>
            <a:buSzTx/>
            <a:buFontTx/>
            <a:buNone/>
            <a:tabLst/>
            <a:defRPr/>
          </a:pPr>
          <a:endPar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IPA</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テクニカルウォッチ「脆弱性対策の効果的な進め方（実践編）第</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2</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版」</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2.2.3. </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共通脆弱性評価システム</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CVSS </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とは</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3.5. </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CVSS </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計算ソフトウェア」 </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 </a:t>
          </a:r>
          <a:r>
            <a:rPr lang="ja-JP" altLang="en-US" sz="1100" b="0" baseline="0">
              <a:solidFill>
                <a:schemeClr val="dk1"/>
              </a:solidFill>
              <a:effectLst/>
              <a:latin typeface="IPA Pゴシック" panose="020B0500000000000000" pitchFamily="50" charset="-128"/>
              <a:ea typeface="IPA Pゴシック" panose="020B0500000000000000" pitchFamily="50" charset="-128"/>
              <a:cs typeface="+mn-cs"/>
            </a:rPr>
            <a:t>脆弱性の自組織への影響度の確認に </a:t>
          </a: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IPA Pゴシック" panose="020B0500000000000000" pitchFamily="50" charset="-128"/>
              <a:ea typeface="IPA Pゴシック" panose="020B0500000000000000" pitchFamily="50" charset="-128"/>
              <a:cs typeface="+mn-cs"/>
            </a:rPr>
            <a:t>https://www.ipa.go.jp/security/technicalwatch/20150331.html</a:t>
          </a:r>
        </a:p>
      </xdr:txBody>
    </xdr:sp>
    <xdr:clientData fPrintsWithSheet="0"/>
  </xdr:twoCellAnchor>
  <xdr:twoCellAnchor editAs="absolute">
    <xdr:from>
      <xdr:col>7</xdr:col>
      <xdr:colOff>123825</xdr:colOff>
      <xdr:row>2</xdr:row>
      <xdr:rowOff>0</xdr:rowOff>
    </xdr:from>
    <xdr:to>
      <xdr:col>12</xdr:col>
      <xdr:colOff>800100</xdr:colOff>
      <xdr:row>3</xdr:row>
      <xdr:rowOff>28575</xdr:rowOff>
    </xdr:to>
    <xdr:sp macro="" textlink="">
      <xdr:nvSpPr>
        <xdr:cNvPr id="7" name="四角形: 角を丸くする 6">
          <a:extLst>
            <a:ext uri="{FF2B5EF4-FFF2-40B4-BE49-F238E27FC236}">
              <a16:creationId xmlns:a16="http://schemas.microsoft.com/office/drawing/2014/main" id="{E41DCD32-40CE-4F8F-A025-2B78716D390F}"/>
            </a:ext>
          </a:extLst>
        </xdr:cNvPr>
        <xdr:cNvSpPr>
          <a:spLocks noChangeAspect="1"/>
        </xdr:cNvSpPr>
      </xdr:nvSpPr>
      <xdr:spPr>
        <a:xfrm>
          <a:off x="12792075" y="533400"/>
          <a:ext cx="4724400" cy="504825"/>
        </a:xfrm>
        <a:prstGeom prst="roundRect">
          <a:avLst>
            <a:gd name="adj" fmla="val 0"/>
          </a:avLst>
        </a:prstGeom>
        <a:solidFill>
          <a:schemeClr val="accent5">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100" b="0">
              <a:solidFill>
                <a:schemeClr val="dk1"/>
              </a:solidFill>
              <a:effectLst/>
              <a:latin typeface="IPA Pゴシック" panose="020B0500000000000000" pitchFamily="50" charset="-128"/>
              <a:ea typeface="IPA Pゴシック" panose="020B0500000000000000" pitchFamily="50" charset="-128"/>
              <a:cs typeface="+mn-cs"/>
            </a:rPr>
            <a:t>【</a:t>
          </a:r>
          <a:r>
            <a:rPr kumimoji="1" lang="ja-JP" altLang="en-US" sz="1100" b="0">
              <a:solidFill>
                <a:schemeClr val="dk1"/>
              </a:solidFill>
              <a:effectLst/>
              <a:latin typeface="IPA Pゴシック" panose="020B0500000000000000" pitchFamily="50" charset="-128"/>
              <a:ea typeface="IPA Pゴシック" panose="020B0500000000000000" pitchFamily="50" charset="-128"/>
              <a:cs typeface="+mn-cs"/>
            </a:rPr>
            <a:t>初回作業</a:t>
          </a:r>
          <a:r>
            <a:rPr kumimoji="1" lang="en-US" altLang="ja-JP" sz="1100" b="0">
              <a:solidFill>
                <a:schemeClr val="dk1"/>
              </a:solidFill>
              <a:effectLst/>
              <a:latin typeface="IPA Pゴシック" panose="020B0500000000000000" pitchFamily="50" charset="-128"/>
              <a:ea typeface="IPA Pゴシック" panose="020B0500000000000000" pitchFamily="50" charset="-128"/>
              <a:cs typeface="+mn-cs"/>
            </a:rPr>
            <a:t>】</a:t>
          </a:r>
        </a:p>
        <a:p>
          <a:r>
            <a:rPr kumimoji="1" lang="ja-JP" altLang="en-US" sz="1100" b="0">
              <a:solidFill>
                <a:schemeClr val="dk1"/>
              </a:solidFill>
              <a:effectLst/>
              <a:latin typeface="IPA Pゴシック" panose="020B0500000000000000" pitchFamily="50" charset="-128"/>
              <a:ea typeface="IPA Pゴシック" panose="020B0500000000000000" pitchFamily="50" charset="-128"/>
              <a:cs typeface="+mn-cs"/>
            </a:rPr>
            <a:t>編集しません。</a:t>
          </a:r>
          <a:endParaRPr lang="ja-JP" altLang="ja-JP" b="0">
            <a:effectLst/>
            <a:latin typeface="IPA Pゴシック" panose="020B0500000000000000" pitchFamily="50" charset="-128"/>
            <a:ea typeface="IPA Pゴシック" panose="020B0500000000000000" pitchFamily="50" charset="-128"/>
          </a:endParaRPr>
        </a:p>
      </xdr:txBody>
    </xdr:sp>
    <xdr:clientData fLocksWithSheet="0" fPrint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879D3F9-CF75-4B6A-9B04-FFA4479DE251}" name="テーブル1" displayName="テーブル1" ref="A3:F33" totalsRowShown="0" headerRowDxfId="178" dataDxfId="176" headerRowBorderDxfId="177" tableBorderDxfId="175" totalsRowBorderDxfId="174">
  <sortState xmlns:xlrd2="http://schemas.microsoft.com/office/spreadsheetml/2017/richdata2" ref="A4:F33">
    <sortCondition ref="B3:B33"/>
  </sortState>
  <tableColumns count="6">
    <tableColumn id="1" xr3:uid="{429F3B9C-07E0-41EC-B7BE-3789E0D55261}" name="＃" dataDxfId="173">
      <calculatedColumnFormula>ROW()-3</calculatedColumnFormula>
    </tableColumn>
    <tableColumn id="2" xr3:uid="{4A70501E-844D-40FE-AB39-B34B51CA2589}" name="ソフトウェア" dataDxfId="172" dataCellStyle="標準 3"/>
    <tableColumn id="3" xr3:uid="{C4C162EE-7137-4243-83C7-A5D24E213562}" name="現在利用しているバージョンの確認方法" dataDxfId="171" dataCellStyle="標準 3"/>
    <tableColumn id="4" xr3:uid="{5EEDA505-D3D7-4F11-A21A-9631A22E4A0E}" name="最新バージョンが確認可能なサイト（リリース情報や確認方法等）" dataDxfId="170" dataCellStyle="標準 3"/>
    <tableColumn id="6" xr3:uid="{697F4036-EA60-4371-ACBF-0A74D6F8C981}" name="最新バージョン提供サイト（最新バージョンを取得する方法等）" dataDxfId="169" dataCellStyle="ハイパーリンク"/>
    <tableColumn id="5" xr3:uid="{09562B4C-8CB5-4B86-BF9E-1F7BB6B0C047}" name="製品ベンダサイト（セキュリティアドバイザリ等）" dataDxfId="168" dataCellStyle="ハイパーリンク"/>
  </tableColumns>
  <tableStyleInfo name="TableStyleLight2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2919272-F023-4D4F-BD0C-CB99EC046BE0}" name="テーブル3" displayName="テーブル3" ref="A20:D35" totalsRowShown="0" headerRowDxfId="163" dataDxfId="161" headerRowBorderDxfId="162" tableBorderDxfId="160" headerRowCellStyle="標準 3">
  <tableColumns count="4">
    <tableColumn id="6" xr3:uid="{16F11AE8-14FC-468E-9EE7-94D9DA673D03}" name="＃" dataDxfId="159"/>
    <tableColumn id="1" xr3:uid="{B8F414BC-9778-4D63-BBE0-C7FD3F94BFAC}" name="脆弱性関連情報データベース" dataDxfId="158" dataCellStyle="標準 3"/>
    <tableColumn id="2" xr3:uid="{9294BFB6-BED4-4F9B-86AF-44C2A6C67ED2}" name="URL" dataDxfId="157" dataCellStyle="ハイパーリンク"/>
    <tableColumn id="5" xr3:uid="{83A6B3E2-195C-4848-9561-84CE3E38F715}" name="おすすめ度" dataDxfId="15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286259D-DEE5-424D-9746-A33C365D6DF8}" name="テーブル4" displayName="テーブル4" ref="A37:D57" totalsRowShown="0" headerRowDxfId="155" dataDxfId="153" headerRowBorderDxfId="154" tableBorderDxfId="152" totalsRowBorderDxfId="151" headerRowCellStyle="標準 3">
  <tableColumns count="4">
    <tableColumn id="6" xr3:uid="{6F4A70E3-1343-4309-A4E7-94725AC3C247}" name="＃" dataDxfId="150"/>
    <tableColumn id="1" xr3:uid="{449BC1A5-B5B0-4386-B23E-B710E2202A98}" name="ニュースサイト" dataDxfId="149" dataCellStyle="標準 3"/>
    <tableColumn id="2" xr3:uid="{8DF86A50-CA7C-4EB2-966D-1D5A257B35F3}" name="URL" dataDxfId="148" dataCellStyle="ハイパーリンク"/>
    <tableColumn id="5" xr3:uid="{A044E1CA-5349-40B4-B363-94C29818397A}" name="おすすめ度" dataDxfId="147" dataCellStyle="標準 3"/>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13384B4-D7B7-4535-889B-B4F9DAAD084B}" name="テーブル2" displayName="テーブル2" ref="A3:D18" totalsRowShown="0" headerRowDxfId="146" dataDxfId="144" headerRowBorderDxfId="145" tableBorderDxfId="143" totalsRowBorderDxfId="142" headerRowCellStyle="標準 3">
  <tableColumns count="4">
    <tableColumn id="6" xr3:uid="{9043E2E6-3CDA-4585-B390-D21A74FCADCF}" name="＃" dataDxfId="141"/>
    <tableColumn id="1" xr3:uid="{7051EC8D-98D8-4B1F-BEC3-21A0E22B587D}" name="注意喚起サイト" dataDxfId="140" dataCellStyle="標準 3"/>
    <tableColumn id="2" xr3:uid="{AA0D5B61-EDBD-4A87-90B9-1C428D78F6BA}" name="URL" dataDxfId="139" dataCellStyle="ハイパーリンク"/>
    <tableColumn id="5" xr3:uid="{1FA30ADB-F983-43EE-93C7-28E85E4D7791}" name="おすすめ度" dataDxfId="138" dataCellStyle="標準 3"/>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5BC535A-DC0D-4CDB-8E43-524F502E698B}" name="テーブル5" displayName="テーブル5" ref="A59:D84" totalsRowShown="0" headerRowDxfId="137" dataDxfId="135" headerRowBorderDxfId="136" tableBorderDxfId="134" totalsRowBorderDxfId="133" headerRowCellStyle="標準 3">
  <tableColumns count="4">
    <tableColumn id="6" xr3:uid="{35C0FB9D-7DAD-4129-8227-94B34B129405}" name="＃" dataDxfId="132"/>
    <tableColumn id="1" xr3:uid="{0A3B41D0-B800-4384-8CD8-879A3A88E4FB}" name="製品ベンダサイト" dataDxfId="131" dataCellStyle="標準 3"/>
    <tableColumn id="2" xr3:uid="{A454A5F7-D78B-407E-9FAB-5235C555910D}" name="URL" dataDxfId="130" dataCellStyle="ハイパーリンク"/>
    <tableColumn id="5" xr3:uid="{48367B8E-2DE3-4CE3-8CB2-888084C50EB5}" name="おすすめ度" dataDxfId="129" dataCellStyle="標準 3"/>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46D090C-7E47-45B7-8B8D-C10AD487E11B}" name="テーブル6" displayName="テーブル6" ref="A3:B8" totalsRowShown="0" headerRowDxfId="128" dataDxfId="126" headerRowBorderDxfId="127" tableBorderDxfId="125" totalsRowBorderDxfId="124">
  <autoFilter ref="A3:B8" xr:uid="{A77E6D80-8717-4C97-9273-1987B3EB69DF}"/>
  <tableColumns count="2">
    <tableColumn id="1" xr3:uid="{C2A8825C-D4CC-4559-9156-935A507981F5}" name="CVSS評価（現状値or環境値）" dataDxfId="123"/>
    <tableColumn id="2" xr3:uid="{338E97C9-7590-45BC-AF5D-3A0A952D9AC6}" name="脆弱性の緊急度" dataDxfId="122"/>
  </tableColumns>
  <tableStyleInfo name="TableStyleLight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A78EBBA-E2DB-4226-85F0-6E57D10A8125}" name="テーブル7" displayName="テーブル7" ref="A10:B14" totalsRowShown="0" headerRowDxfId="121" headerRowBorderDxfId="120" tableBorderDxfId="119" totalsRowBorderDxfId="118">
  <autoFilter ref="A10:B14" xr:uid="{2190B424-D065-42AD-8C84-4E284E2E493E}"/>
  <tableColumns count="2">
    <tableColumn id="1" xr3:uid="{E8D87C03-B7CA-42DC-BEB3-0D4CCC5143C4}" name="優先対応の判断要素となる評価項目" dataDxfId="117"/>
    <tableColumn id="2" xr3:uid="{B268885B-BC97-4E54-9E83-F1450B46FB1D}" name="脆弱性の緊急度" dataDxfId="116"/>
  </tableColumns>
  <tableStyleInfo name="TableStyleLight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ACA8861-4045-497C-BDBF-AE8DA3F76366}" name="テーブル8" displayName="テーブル8" ref="A16:B21" totalsRowShown="0" headerRowDxfId="115" dataDxfId="113" headerRowBorderDxfId="114" tableBorderDxfId="112" totalsRowBorderDxfId="111">
  <autoFilter ref="A16:B21" xr:uid="{9592B1B5-183F-4016-A05E-54C87D46A6EE}"/>
  <tableColumns count="2">
    <tableColumn id="1" xr3:uid="{ED075BA5-6D8B-49F1-B075-E603B69C25D4}" name="ベンダによる脆弱性の評価例" dataDxfId="110"/>
    <tableColumn id="2" xr3:uid="{0A02661F-8A2E-4D8C-BFD3-93F375D9918F}" name="脆弱性の緊急度" dataDxfId="109"/>
  </tableColumns>
  <tableStyleInfo name="TableStyleLight1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EB37840-89CA-4D8F-B91D-1EC75E9B5F1F}" name="テーブル9" displayName="テーブル9" ref="A23:B28" totalsRowShown="0" headerRowDxfId="108" headerRowBorderDxfId="107" tableBorderDxfId="106" totalsRowBorderDxfId="105">
  <autoFilter ref="A23:B28" xr:uid="{C33F871D-3AD9-4811-8A68-B5D6D43CF333}"/>
  <tableColumns count="2">
    <tableColumn id="1" xr3:uid="{A97A9704-0D61-449B-822F-5BA5443E35B8}" name="脆弱性の緊急度" dataDxfId="104"/>
    <tableColumn id="2" xr3:uid="{C38D0FA6-5687-484C-ADDB-BF14B1B1E766}" name="対応方針目安" dataDxfId="103"/>
  </tableColumns>
  <tableStyleInfo name="TableStyleLight1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532B5C7-2062-421A-BF66-FBEC91A56338}" name="テーブル10" displayName="テーブル10" ref="A30:B40" totalsRowShown="0" headerRowDxfId="102" dataDxfId="100" headerRowBorderDxfId="101" tableBorderDxfId="99" totalsRowBorderDxfId="98">
  <autoFilter ref="A30:B40" xr:uid="{581FB02A-8939-49AC-984C-1A5804900671}"/>
  <tableColumns count="2">
    <tableColumn id="1" xr3:uid="{72C403A5-E2EE-459A-91A2-DB1A24E75D69}" name="脆弱性の適用判断で留意する項目" dataDxfId="97"/>
    <tableColumn id="2" xr3:uid="{6AC7F9BB-C240-44E3-9A2C-48208A724F7C}" name="備考" dataDxfId="96"/>
  </tableColumns>
  <tableStyleInfo name="TableStyleLight1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4E552F8C-3F98-439E-B2B8-795BF1333CEF}" name="テーブル11" displayName="テーブル11" ref="A3:F53" totalsRowShown="0" headerRowDxfId="95" dataDxfId="93" headerRowBorderDxfId="94" tableBorderDxfId="92">
  <sortState xmlns:xlrd2="http://schemas.microsoft.com/office/spreadsheetml/2017/richdata2" ref="A4:F53">
    <sortCondition ref="B3:B53"/>
  </sortState>
  <tableColumns count="6">
    <tableColumn id="1" xr3:uid="{0CB92DF5-00D7-4B5C-8ED6-206128F2F80E}" name="＃" dataDxfId="91">
      <calculatedColumnFormula>ROW()-3</calculatedColumnFormula>
    </tableColumn>
    <tableColumn id="2" xr3:uid="{91D18180-974B-452D-9475-A04201A61312}" name="ソフトウェア" dataDxfId="90" dataCellStyle="標準 3"/>
    <tableColumn id="3" xr3:uid="{294416D4-FA76-4B3B-B9A9-C9C9B0ED8B86}" name="現在利用しているバージョンの確認方法" dataDxfId="89" dataCellStyle="標準 3">
      <calculatedColumnFormula>IFERROR(VLOOKUP($B4,テーブル1[[ソフトウェア]:[製品ベンダサイト（セキュリティアドバイザリ等）]],2,0),"")</calculatedColumnFormula>
    </tableColumn>
    <tableColumn id="4" xr3:uid="{CF90510E-727A-46BE-BB2B-90266F221719}" name="最新バージョンが確認可能なサイト（リリース情報や確認方法等）" dataDxfId="88" dataCellStyle="ハイパーリンク">
      <calculatedColumnFormula>HYPERLINK(IFERROR(VLOOKUP($B4,テーブル1[[ソフトウェア]:[製品ベンダサイト（セキュリティアドバイザリ等）]],3,0),""))</calculatedColumnFormula>
    </tableColumn>
    <tableColumn id="6" xr3:uid="{E234148B-34BE-4743-AF24-F841947F72E5}" name="最新バージョン提供サイト（最新バージョンを取得する方法等）" dataDxfId="87" dataCellStyle="ハイパーリンク">
      <calculatedColumnFormula>HYPERLINK(IFERROR(VLOOKUP($B4,テーブル1[[ソフトウェア]:[製品ベンダサイト（セキュリティアドバイザリ等）]],4,0),""))</calculatedColumnFormula>
    </tableColumn>
    <tableColumn id="5" xr3:uid="{085D3B03-E9DB-4018-92B2-EDA9EDDD1046}" name="製品ベンダサイト（セキュリティアドバイザリ等）" dataDxfId="86" dataCellStyle="ハイパーリンク">
      <calculatedColumnFormula>HYPERLINK(IFERROR(VLOOKUP($B4,テーブル1[[ソフトウェア]:[製品ベンダサイト（セキュリティアドバイザリ等）]],5,0),""))</calculatedColumnFormula>
    </tableColumn>
  </tableColumns>
  <tableStyleInfo name="TableStyleLight2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6DEABE4-488E-4D4D-A914-3B37D9A59341}" name="テーブル12" displayName="テーブル12" ref="A3:G53" totalsRowShown="0" headerRowDxfId="82" dataDxfId="80" headerRowBorderDxfId="81" tableBorderDxfId="79" totalsRowBorderDxfId="78" headerRowCellStyle="標準 3">
  <tableColumns count="7">
    <tableColumn id="1" xr3:uid="{A2AF5105-744A-4C57-B1DD-A12CF72A7BCD}" name="＃" dataDxfId="77">
      <calculatedColumnFormula>ROW()-3</calculatedColumnFormula>
    </tableColumn>
    <tableColumn id="2" xr3:uid="{888EEF79-DBEF-4BD9-9906-FDE1B224BD0C}" name="ソフトウェア" dataDxfId="76">
      <calculatedColumnFormula>VLOOKUP($A4,テーブル11[],2)&amp;""</calculatedColumnFormula>
    </tableColumn>
    <tableColumn id="4" xr3:uid="{1ABCC61F-4844-4B65-A49F-97D5781AE454}" name="現在利用しているバージョンの確認方法" dataDxfId="75" dataCellStyle="標準 3">
      <calculatedColumnFormula>IFERROR(VLOOKUP($B4,テーブル11[[ソフトウェア]:[製品ベンダサイト（セキュリティアドバイザリ等）]],2,0),"")</calculatedColumnFormula>
    </tableColumn>
    <tableColumn id="3" xr3:uid="{14FD2BBD-0122-485C-B4F7-2FA6E74548EE}" name="利用しているバージョン" dataDxfId="74" dataCellStyle="標準 3"/>
    <tableColumn id="5" xr3:uid="{2DE107D6-C1F6-4160-A051-BC01D4A172C5}" name="最新バージョンが確認できるサイト（リリース情報等）" dataDxfId="73" dataCellStyle="ハイパーリンク">
      <calculatedColumnFormula>HYPERLINK(IFERROR(VLOOKUP($B4,テーブル11[[ソフトウェア]:[製品ベンダサイト（セキュリティアドバイザリ等）]],3,0),""))</calculatedColumnFormula>
    </tableColumn>
    <tableColumn id="6" xr3:uid="{48796178-3265-40B9-8318-5D0543AB8443}" name="最新バージョン" dataDxfId="72" dataCellStyle="標準 3"/>
    <tableColumn id="7" xr3:uid="{93F0E341-BE0A-46A9-9DF3-FDFA9A8116E2}" name="最新バージョンの公表日" dataDxfId="71" dataCellStyle="標準 3"/>
  </tableColumns>
  <tableStyleInfo name="TableStyleLight2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F10861F8-51F5-41BD-A0D1-0D3084ABF08D}" name="テーブル15" displayName="テーブル15" ref="L15:N25" totalsRowShown="0" headerRowDxfId="69" dataDxfId="67" headerRowBorderDxfId="68" tableBorderDxfId="66" headerRowCellStyle="標準 3">
  <autoFilter ref="L15:N25" xr:uid="{71D06091-5DC6-40EE-85E5-FDB0B8A862F6}"/>
  <tableColumns count="3">
    <tableColumn id="6" xr3:uid="{39CA8564-7DB7-45AA-8614-E5FE8B308A4A}" name="＃" dataDxfId="65"/>
    <tableColumn id="1" xr3:uid="{5232E1B1-D4B0-43EC-A4A1-3CBD76AA2288}" name="脆弱性関連情報データベース" dataDxfId="64" dataCellStyle="標準 3"/>
    <tableColumn id="2" xr3:uid="{EECB63DC-F232-4282-BB40-62120BE0F1A6}" name="URL" dataDxfId="63" dataCellStyle="ハイパーリンク">
      <calculatedColumnFormula>HYPERLINK(IFERROR(VLOOKUP($M16,よく使われる収集先一覧!$B$21:$C$35,2,0),""))</calculatedColumnFormula>
    </tableColumn>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8A404AC9-8CC4-45C5-8725-2D6D15867A6A}" name="テーブル16" displayName="テーブル16" ref="L27:N47" totalsRowShown="0" headerRowDxfId="62" dataDxfId="60" headerRowBorderDxfId="61" tableBorderDxfId="59" totalsRowBorderDxfId="58" headerRowCellStyle="標準 3">
  <autoFilter ref="L27:N47" xr:uid="{D910527B-02A5-48F7-B496-4DC6159CC2CF}"/>
  <tableColumns count="3">
    <tableColumn id="6" xr3:uid="{340F90D1-48FE-4F2E-B503-B597B2BCA61D}" name="＃" dataDxfId="57"/>
    <tableColumn id="1" xr3:uid="{7F468091-6271-4A18-9C23-55729EF8FAD4}" name="ニュースサイト" dataDxfId="56" dataCellStyle="標準 3"/>
    <tableColumn id="2" xr3:uid="{CA1908AF-BC77-40FD-A205-A53AF778BD86}" name="URL" dataDxfId="55" dataCellStyle="ハイパーリンク">
      <calculatedColumnFormula>HYPERLINK(IFERROR(VLOOKUP($M28,よく使われる収集先一覧!$B$38:$C$57,2,0),""))</calculatedColumnFormula>
    </tableColumn>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DF1F5DD0-B627-4DAE-81CD-EF3B34E9871D}" name="テーブル14" displayName="テーブル14" ref="L3:N13" totalsRowShown="0" headerRowDxfId="54" dataDxfId="52" headerRowBorderDxfId="53" tableBorderDxfId="51" totalsRowBorderDxfId="50" headerRowCellStyle="標準 3">
  <autoFilter ref="L3:N13" xr:uid="{BD7FC1A3-3E3C-4A17-91C4-DB947A33E8FF}"/>
  <tableColumns count="3">
    <tableColumn id="6" xr3:uid="{239B3B77-8412-45C4-B901-64D0C75E7095}" name="＃" dataDxfId="49"/>
    <tableColumn id="1" xr3:uid="{0749C5F0-FF44-4CBE-881B-94063539A70A}" name="注意喚起サイト" dataDxfId="48" dataCellStyle="標準 3"/>
    <tableColumn id="2" xr3:uid="{7827C419-C019-4EE7-93C1-548B91FBED96}" name="URL" dataDxfId="47" dataCellStyle="ハイパーリンク">
      <calculatedColumnFormula>HYPERLINK(IFERROR(VLOOKUP($M4,よく使われる収集先一覧!$B$4:$C$18,2,0),""))</calculatedColumnFormula>
    </tableColumn>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A8DD4342-650E-4C90-A48C-DC06EF64C922}" name="テーブル13" displayName="テーブル13" ref="A3:J53" totalsRowShown="0" headerRowDxfId="46" dataDxfId="44" headerRowBorderDxfId="45" tableBorderDxfId="43" totalsRowBorderDxfId="42" headerRowCellStyle="標準 3">
  <autoFilter ref="A3:J53" xr:uid="{650F341F-3E0E-488E-B4FC-CE3135BA730C}"/>
  <tableColumns count="10">
    <tableColumn id="6" xr3:uid="{53C3AF35-5DFD-42CD-963F-6AB264D7EF1C}" name="＃" dataDxfId="41">
      <calculatedColumnFormula>ROW()-3</calculatedColumnFormula>
    </tableColumn>
    <tableColumn id="1" xr3:uid="{0E12CBD7-1679-443B-ACB0-CDB20DDC5851}" name="ソフトウェア" dataDxfId="40" dataCellStyle="標準 3">
      <calculatedColumnFormula>VLOOKUP($A4,テーブル11[],2)&amp;""</calculatedColumnFormula>
    </tableColumn>
    <tableColumn id="2" xr3:uid="{30903CFE-B02B-4C8B-BFA3-C490568B88F1}" name="製品ベンダサイト（セキュリティアドバイザリ等）" dataDxfId="39" dataCellStyle="ハイパーリンク">
      <calculatedColumnFormula>HYPERLINK(IFERROR(VLOOKUP($B4,テーブル11[[ソフトウェア]:[製品ベンダサイト（セキュリティアドバイザリ等）]],5,0),""))</calculatedColumnFormula>
    </tableColumn>
    <tableColumn id="3" xr3:uid="{CC942314-A9E7-489E-831C-2D35F2D541E5}" name="収集情報1" dataDxfId="38" dataCellStyle="ハイパーリンク"/>
    <tableColumn id="4" xr3:uid="{1730D950-B37E-4419-BB40-24E29B796FA7}" name="収集情報2" dataDxfId="37" dataCellStyle="ハイパーリンク"/>
    <tableColumn id="5" xr3:uid="{610542D7-38F4-4699-9808-E01BC3B5926B}" name="収集情報3" dataDxfId="36" dataCellStyle="ハイパーリンク"/>
    <tableColumn id="7" xr3:uid="{EA276EA0-AAC2-49C1-9960-7036A43CA80A}" name="収集情報4" dataDxfId="35" dataCellStyle="ハイパーリンク"/>
    <tableColumn id="8" xr3:uid="{7E9FD925-5411-4E9C-8D81-CC92F026B483}" name="収集情報5" dataDxfId="34" dataCellStyle="ハイパーリンク"/>
    <tableColumn id="10" xr3:uid="{C9798036-46F4-4EAA-A315-1B4D26AED0BC}" name="判定用" dataDxfId="33" dataCellStyle="標準 3">
      <calculatedColumnFormula>IF(COUNTIF(テーブル13[[#This Row],[収集情報1]:[収集情報5]],"http*"),"○","")&amp;""</calculatedColumnFormula>
    </tableColumn>
    <tableColumn id="11" xr3:uid="{C8F741FE-A248-4A42-8DF0-6D8364357B7D}" name="判定用2" dataDxfId="32">
      <calculatedColumnFormula>IFERROR(_xlfn.IFS(VLOOKUP($B4,バージョン情報の確認!$B$4:$G$1048576,3,0)&lt;&gt;VLOOKUP($B4,バージョン情報の確認!$B$4:$G$1048576,5,0),"○",VLOOKUP($B4,脆弱性の影響度確認!$B$6:$K$1048576,3,0)="〇:影響を受ける","○"),"")</calculatedColumnFormula>
    </tableColumn>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18AA74F-CE93-4AAE-9297-289B5EA418E2}" name="テーブル17" displayName="テーブル17" ref="A5:P55" totalsRowShown="0" headerRowDxfId="30" dataDxfId="28" headerRowBorderDxfId="29" headerRowCellStyle="標準 3" dataCellStyle="標準 3">
  <autoFilter ref="A5:P55" xr:uid="{E1206FEB-669D-4F8B-9540-AF27C5064EA4}"/>
  <tableColumns count="16">
    <tableColumn id="1" xr3:uid="{AC548DEA-7ED9-41B1-9A58-F22F2BB98EEF}" name="＃" dataDxfId="27" dataCellStyle="標準 3">
      <calculatedColumnFormula array="1">IFERROR(INDEX(脆弱性関連情報の確認!$A$4:$B$500,MATCH(LARGE((脆弱性関連情報の確認!$I$4:$I$500="○")*1/ROW(バージョン情報の確認!$A$4:$A$500),ROWS(脆弱性対策の適用判断!$A$4:$A4)),1/ROW(脆弱性関連情報の確認!$A$4:$A$500),0),COLUMNS(脆弱性関連情報の確認!$A$1:A$1)),"")</calculatedColumnFormula>
    </tableColumn>
    <tableColumn id="2" xr3:uid="{B05434F5-0122-4F8F-979E-D9916F849D28}" name="ソフトウェア" dataDxfId="26" dataCellStyle="標準 3">
      <calculatedColumnFormula array="1">IFERROR(INDEX(脆弱性関連情報の確認!$A$4:$B$500,MATCH(LARGE((脆弱性関連情報の確認!$I$4:$I$500="○")*1/ROW(バージョン情報の確認!$A$4:$A$500),ROWS(脆弱性対策の適用判断!$A$4:$A4)),1/ROW(脆弱性関連情報の確認!$A$4:$A$500),0),COLUMNS(脆弱性関連情報の確認!$A$1:B$1)),"")</calculatedColumnFormula>
    </tableColumn>
    <tableColumn id="3" xr3:uid="{CB8CD4CE-FABF-4326-ACC7-B8A80BC0422B}" name="利用しているバージョン" dataDxfId="25" dataCellStyle="標準 3">
      <calculatedColumnFormula>IFERROR(VLOOKUP($B6,バージョン情報の確認!$B$4:$G$1048576,3,0),"")&amp;""</calculatedColumnFormula>
    </tableColumn>
    <tableColumn id="4" xr3:uid="{811EFF1D-F246-42D1-B148-1A96954185C8}" name="脆弱性の影響を受けるバージョンか" dataDxfId="24" dataCellStyle="標準 3"/>
    <tableColumn id="5" xr3:uid="{7B7AFCB9-E796-426B-8A69-36BFB236332D}" name="CVSS評価はいくつか（現状値or環境値）" dataDxfId="23" dataCellStyle="標準 3"/>
    <tableColumn id="8" xr3:uid="{9BC6A092-7060-419E-A1A3-B275C073F38C}" name="脆弱性を悪用した攻撃は行われているか" dataDxfId="22" dataCellStyle="標準 3"/>
    <tableColumn id="7" xr3:uid="{778F4201-C2D3-40D8-B81D-DD9B222A4739}" name="ネットワーク越しからの攻撃が可能か" dataDxfId="21" dataCellStyle="標準 3"/>
    <tableColumn id="9" xr3:uid="{FBFE3718-12EF-4A9F-9640-DFDE28972909}" name="実証コード（PoC）は公開されているか" dataDxfId="20" dataCellStyle="標準 3"/>
    <tableColumn id="17" xr3:uid="{22EA93EE-019E-4DFB-AB2E-98A2D430FF06}" name="ゼロデイ脆弱性か" dataDxfId="19" dataCellStyle="標準 3"/>
    <tableColumn id="6" xr3:uid="{B56BD8C2-2C74-470D-B57C-D5A6BA28A7B2}" name="ベンダによる脆弱性の評価はいくつか" dataDxfId="18" dataCellStyle="標準 3"/>
    <tableColumn id="10" xr3:uid="{65FE4186-092F-49AF-89DD-7DE09368B480}" name="収集情報1" dataDxfId="17" dataCellStyle="標準 3">
      <calculatedColumnFormula>HYPERLINK(IFERROR(VLOOKUP($B6,脆弱性関連情報の確認!$B$4:$H$1048576,3,0),""))</calculatedColumnFormula>
    </tableColumn>
    <tableColumn id="11" xr3:uid="{DA8EB19E-7324-4E49-98AF-13019EF5887B}" name="収集情報2" dataDxfId="16" dataCellStyle="標準 3">
      <calculatedColumnFormula>HYPERLINK(IFERROR(VLOOKUP($B6,脆弱性関連情報の確認!$B$4:$H$1048576,4,0),""))</calculatedColumnFormula>
    </tableColumn>
    <tableColumn id="12" xr3:uid="{B7DEB1FD-5874-4B4C-90E9-E46B93433485}" name="収集情報3" dataDxfId="15" dataCellStyle="標準 3">
      <calculatedColumnFormula>HYPERLINK(IFERROR(VLOOKUP($B6,脆弱性関連情報の確認!$B$4:$H$1048576,5,0),""))</calculatedColumnFormula>
    </tableColumn>
    <tableColumn id="13" xr3:uid="{3C4B3D8E-1773-4CD1-B795-7458345C3038}" name="収集情報4" dataDxfId="14" dataCellStyle="標準 3">
      <calculatedColumnFormula>HYPERLINK(IFERROR(VLOOKUP($B6,脆弱性関連情報の確認!$B$4:$H$1048576,6,0),""))</calculatedColumnFormula>
    </tableColumn>
    <tableColumn id="14" xr3:uid="{7C286D0A-A2DC-4679-9EDA-F6E178ABD864}" name="収集情報5" dataDxfId="13" dataCellStyle="標準 3">
      <calculatedColumnFormula>HYPERLINK(IFERROR(VLOOKUP($B6,脆弱性関連情報の確認!$B$4:$H$1048576,7,0),""))</calculatedColumnFormula>
    </tableColumn>
    <tableColumn id="16" xr3:uid="{4275664D-12F3-42BF-A0E8-B931F0F27970}" name="判定" dataDxfId="12" dataCellStyle="標準 3">
      <calculatedColumnFormula array="1">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calculatedColumnFormula>
    </tableColumn>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1D41084-968B-449F-AE77-9CE76A2D2D10}" name="テーブル18" displayName="テーブル18" ref="A3:G53" totalsRowShown="0" headerRowDxfId="9" dataDxfId="8" tableBorderDxfId="7" headerRowCellStyle="標準 3" dataCellStyle="標準 3">
  <autoFilter ref="A3:G53" xr:uid="{08A5D84C-119D-411F-8006-605C12D8CB4F}"/>
  <tableColumns count="7">
    <tableColumn id="1" xr3:uid="{DF149AC4-D8D6-4643-B884-D7B8190BF2E8}" name="＃" dataDxfId="6" dataCellStyle="標準 3">
      <calculatedColumnFormula array="1">IFERROR(INDEX(脆弱性関連情報の確認!$A$4:$B$500,MATCH(LARGE((脆弱性関連情報の確認!$J$4:$J$500="○")*1/ROW(バージョン情報の確認!$A$4:$A$500),ROWS(脆弱性対策の適用判断!$A$4:$A4)),1/ROW(脆弱性関連情報の確認!$A$4:$A$500),0),COLUMNS(脆弱性関連情報の確認!$A$1:A$1)),"")</calculatedColumnFormula>
    </tableColumn>
    <tableColumn id="2" xr3:uid="{03C1755B-FCB5-4450-AD54-8794B4D554A2}" name="確認が必要なソフトウェア" dataDxfId="5" dataCellStyle="標準 3">
      <calculatedColumnFormula array="1">IFERROR(INDEX(脆弱性関連情報の確認!$A$4:$B$500,MATCH(LARGE((脆弱性関連情報の確認!$J$4:$J$500="○")*1/ROW(バージョン情報の確認!$A$4:$A$500),ROWS(脆弱性対策の適用判断!$A$4:$A4)),1/ROW(脆弱性関連情報の確認!$A$4:$A$500),0),COLUMNS(脆弱性関連情報の確認!$A$1:B$1)),"")</calculatedColumnFormula>
    </tableColumn>
    <tableColumn id="3" xr3:uid="{CFB5A9F4-2F3F-476B-89C2-30DCE5334B15}" name="最新バージョン" dataDxfId="4" dataCellStyle="標準 3">
      <calculatedColumnFormula>IFERROR(IF(VLOOKUP($B4,バージョン情報の確認!$B$4:$G$1048576,3,0)=VLOOKUP($B4,バージョン情報の確認!$B$4:$G$1048576,5,0),"",VLOOKUP($B4,バージョン情報の確認!$B$4:$G$1048576,5,0)),"")</calculatedColumnFormula>
    </tableColumn>
    <tableColumn id="4" xr3:uid="{405BC0BA-17A5-4FC4-B332-F11D0814EDD2}" name="脆弱性情報参考URL" dataDxfId="3" dataCellStyle="ハイパーリンク">
      <calculatedColumnFormula>HYPERLINK(IFERROR(IF(VLOOKUP($B4,テーブル17[[ソフトウェア]:[脆弱性の影響を受けるバージョンか]],3,0)="〇:影響を受ける",HYPERLINK(VLOOKUP($B4,テーブル13[[ソフトウェア]:[収集情報5]],3,0)),""),""))</calculatedColumnFormula>
    </tableColumn>
    <tableColumn id="5" xr3:uid="{DFF1A3A9-D2FC-4F83-A6AA-CD7E8FC7F290}" name="脆弱性の緊急度" dataDxfId="2" dataCellStyle="標準 3">
      <calculatedColumnFormula>IFERROR(IF($D4="","",VLOOKUP($B4,テーブル17[[ソフトウェア]:[判定]],15,0)),"")</calculatedColumnFormula>
    </tableColumn>
    <tableColumn id="6" xr3:uid="{6F255086-F487-4BF7-AE7F-408C4A4D2051}" name="対応方針目安" dataDxfId="1" dataCellStyle="標準 3">
      <calculatedColumnFormula array="1">IFERROR(_xlfn.IFS(
$E4=緊急度・対応方針設定!$A$24,緊急度・対応方針設定!$B$24,
$E4=緊急度・対応方針設定!$A$25,緊急度・対応方針設定!$B$25,
$E4=緊急度・対応方針設定!$A$26,緊急度・対応方針設定!$B$26,
$E4=緊急度・対応方針設定!$A$27,緊急度・対応方針設定!$B$27,
$E4=緊急度・対応方針設定!$A$28,緊急度・対応方針設定!$B$28,
$C4&lt;&gt;"","随時更新（脆弱性なし）"),"")</calculatedColumnFormula>
    </tableColumn>
    <tableColumn id="7" xr3:uid="{018D88C3-3AD0-4A18-9CA7-CFAA371B448B}" name="備考" dataDxfId="0"/>
  </tableColumns>
  <tableStyleInfo name="TableStyleLight8"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w="38100"/>
      </a:spPr>
      <a:bodyPr vertOverflow="clip" horzOverflow="clip" rtlCol="0" anchor="t"/>
      <a:lstStyle>
        <a:defPPr algn="l">
          <a:defRPr kumimoji="1" sz="1050">
            <a:latin typeface="HG創英角ｺﾞｼｯｸUB" panose="020B0909000000000000" pitchFamily="49" charset="-128"/>
            <a:ea typeface="HG創英角ｺﾞｼｯｸUB" panose="020B0909000000000000" pitchFamily="49" charset="-128"/>
          </a:defRPr>
        </a:defPPr>
      </a:lstStyle>
      <a:style>
        <a:lnRef idx="2">
          <a:schemeClr val="accent5"/>
        </a:lnRef>
        <a:fillRef idx="1">
          <a:schemeClr val="lt1"/>
        </a:fillRef>
        <a:effectRef idx="0">
          <a:schemeClr val="accent5"/>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pa.go.jp/security/technicalwatch/20150331.html" TargetMode="External"/><Relationship Id="rId1" Type="http://schemas.openxmlformats.org/officeDocument/2006/relationships/hyperlink" Target="https://www.ipa.go.jp/security/technicalwatch/20190221.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www.libreoffice.org/download/download/" TargetMode="External"/><Relationship Id="rId18" Type="http://schemas.openxmlformats.org/officeDocument/2006/relationships/hyperlink" Target="https://www.mozilla.org/en-US/firefox/releases/" TargetMode="External"/><Relationship Id="rId26" Type="http://schemas.openxmlformats.org/officeDocument/2006/relationships/hyperlink" Target="https://www.wireshark.org/security/" TargetMode="External"/><Relationship Id="rId39" Type="http://schemas.openxmlformats.org/officeDocument/2006/relationships/hyperlink" Target="https://www.libreoffice.org/about-us/security/advisories/" TargetMode="External"/><Relationship Id="rId21" Type="http://schemas.openxmlformats.org/officeDocument/2006/relationships/hyperlink" Target="https://www.openoffice.org/download/" TargetMode="External"/><Relationship Id="rId34" Type="http://schemas.openxmlformats.org/officeDocument/2006/relationships/hyperlink" Target="https://www.ipa.go.jp/security/vuln/iLogScanner/" TargetMode="External"/><Relationship Id="rId42" Type="http://schemas.openxmlformats.org/officeDocument/2006/relationships/hyperlink" Target="https://www.microsoft.com/ja-jp/edge" TargetMode="External"/><Relationship Id="rId47" Type="http://schemas.openxmlformats.org/officeDocument/2006/relationships/hyperlink" Target="https://jvndb.jvn.jp/apis/myjvn/mjdashboard.html" TargetMode="External"/><Relationship Id="rId50" Type="http://schemas.openxmlformats.org/officeDocument/2006/relationships/hyperlink" Target="https://www.mozilla.org/ja/firefox/organizations/all/" TargetMode="External"/><Relationship Id="rId55" Type="http://schemas.openxmlformats.org/officeDocument/2006/relationships/hyperlink" Target="https://jvndb.jvn.jp/apis/myjvn/vccheckdotnet.html" TargetMode="External"/><Relationship Id="rId63" Type="http://schemas.openxmlformats.org/officeDocument/2006/relationships/hyperlink" Target="https://support.microsoft.com/en-us/help/4555932" TargetMode="External"/><Relationship Id="rId68" Type="http://schemas.openxmlformats.org/officeDocument/2006/relationships/hyperlink" Target="https://winscp.net/eng/docs/history" TargetMode="External"/><Relationship Id="rId76" Type="http://schemas.openxmlformats.org/officeDocument/2006/relationships/printerSettings" Target="../printerSettings/printerSettings2.bin"/><Relationship Id="rId7" Type="http://schemas.openxmlformats.org/officeDocument/2006/relationships/hyperlink" Target="https://helpx.adobe.com/flash-player/release-note/fp_32_air_32_release_notes.html" TargetMode="External"/><Relationship Id="rId71" Type="http://schemas.openxmlformats.org/officeDocument/2006/relationships/hyperlink" Target="https://lunascape.zendesk.com/hc/ja/categories/202515218-%E3%81%8A%E7%9F%A5%E3%82%89%E3%81%9B" TargetMode="External"/><Relationship Id="rId2" Type="http://schemas.openxmlformats.org/officeDocument/2006/relationships/hyperlink" Target="https://helpx.adobe.com/security.html" TargetMode="External"/><Relationship Id="rId16" Type="http://schemas.openxmlformats.org/officeDocument/2006/relationships/hyperlink" Target="https://jvndb.jvn.jp/apis/myjvn/mjcheck3.html" TargetMode="External"/><Relationship Id="rId29" Type="http://schemas.openxmlformats.org/officeDocument/2006/relationships/hyperlink" Target="https://www.google.com/chrome/" TargetMode="External"/><Relationship Id="rId11" Type="http://schemas.openxmlformats.org/officeDocument/2006/relationships/hyperlink" Target="https://www.oracle.com/java/technologies/javase/8u-relnotes.html" TargetMode="External"/><Relationship Id="rId24" Type="http://schemas.openxmlformats.org/officeDocument/2006/relationships/hyperlink" Target="https://www.wireshark.org/download.html" TargetMode="External"/><Relationship Id="rId32" Type="http://schemas.openxmlformats.org/officeDocument/2006/relationships/hyperlink" Target="https://support.apple.com/en-us/HT201222" TargetMode="External"/><Relationship Id="rId37" Type="http://schemas.openxmlformats.org/officeDocument/2006/relationships/hyperlink" Target="http://www7a.biglobe.ne.jp/~schezo/" TargetMode="External"/><Relationship Id="rId40" Type="http://schemas.openxmlformats.org/officeDocument/2006/relationships/hyperlink" Target="http://www.lunascape.jp/products/win/orion/default.aspx" TargetMode="External"/><Relationship Id="rId45" Type="http://schemas.openxmlformats.org/officeDocument/2006/relationships/hyperlink" Target="https://jvndb.jvn.jp/apis/myjvn/mjcheck3.html" TargetMode="External"/><Relationship Id="rId53" Type="http://schemas.openxmlformats.org/officeDocument/2006/relationships/hyperlink" Target="https://jvndb.jvn.jp/apis/myjvn/vccheckdotnet.html" TargetMode="External"/><Relationship Id="rId58" Type="http://schemas.openxmlformats.org/officeDocument/2006/relationships/hyperlink" Target="https://osdn.net/projects/ttssh2/releases/" TargetMode="External"/><Relationship Id="rId66" Type="http://schemas.openxmlformats.org/officeDocument/2006/relationships/hyperlink" Target="https://winscp.net/eng/news.php" TargetMode="External"/><Relationship Id="rId74" Type="http://schemas.openxmlformats.org/officeDocument/2006/relationships/hyperlink" Target="https://portal.msrc.microsoft.com/en-us/security-guidance" TargetMode="External"/><Relationship Id="rId5" Type="http://schemas.openxmlformats.org/officeDocument/2006/relationships/hyperlink" Target="https://www.adobe.com/devnet-docs/acrobatetk/tools/ReleaseNotesDC/index.html" TargetMode="External"/><Relationship Id="rId15" Type="http://schemas.openxmlformats.org/officeDocument/2006/relationships/hyperlink" Target="https://docs.microsoft.com/en-us/officeupdates/update-history-microsoft365-apps-by-date" TargetMode="External"/><Relationship Id="rId23" Type="http://schemas.openxmlformats.org/officeDocument/2006/relationships/hyperlink" Target="https://helpx.adobe.com/security.html" TargetMode="External"/><Relationship Id="rId28" Type="http://schemas.openxmlformats.org/officeDocument/2006/relationships/hyperlink" Target="http://www.rimarts.co.jp/index-j.html" TargetMode="External"/><Relationship Id="rId36" Type="http://schemas.openxmlformats.org/officeDocument/2006/relationships/hyperlink" Target="https://www.oracle.com/security-alerts/" TargetMode="External"/><Relationship Id="rId49" Type="http://schemas.openxmlformats.org/officeDocument/2006/relationships/hyperlink" Target="https://www.mozilla.org/ja/firefox/all/" TargetMode="External"/><Relationship Id="rId57" Type="http://schemas.openxmlformats.org/officeDocument/2006/relationships/hyperlink" Target="https://www.openoffice.org/security/bulletin.html" TargetMode="External"/><Relationship Id="rId61" Type="http://schemas.openxmlformats.org/officeDocument/2006/relationships/hyperlink" Target="https://docs.vmware.com/jp/VMware-Workstation-Player/index.html" TargetMode="External"/><Relationship Id="rId10" Type="http://schemas.openxmlformats.org/officeDocument/2006/relationships/hyperlink" Target="https://www.ipa.go.jp/security/vuln/iLogScanner/" TargetMode="External"/><Relationship Id="rId19" Type="http://schemas.openxmlformats.org/officeDocument/2006/relationships/hyperlink" Target="https://www.mozilla.org/en-US/firefox/releases/" TargetMode="External"/><Relationship Id="rId31" Type="http://schemas.openxmlformats.org/officeDocument/2006/relationships/hyperlink" Target="https://www.apple.com/jp/itunes/" TargetMode="External"/><Relationship Id="rId44" Type="http://schemas.openxmlformats.org/officeDocument/2006/relationships/hyperlink" Target="https://docs.microsoft.com/en-us/officeupdates/microsoft365-apps-security-updates" TargetMode="External"/><Relationship Id="rId52" Type="http://schemas.openxmlformats.org/officeDocument/2006/relationships/hyperlink" Target="https://www.mozilla.org/en-US/security/known-vulnerabilities/thunderbird/" TargetMode="External"/><Relationship Id="rId60" Type="http://schemas.openxmlformats.org/officeDocument/2006/relationships/hyperlink" Target="https://osdn.net/projects/ttssh2/releases/p7801" TargetMode="External"/><Relationship Id="rId65" Type="http://schemas.openxmlformats.org/officeDocument/2006/relationships/hyperlink" Target="https://docs.microsoft.com/en-us/windows-server/get-started/windows-server-release-info" TargetMode="External"/><Relationship Id="rId73" Type="http://schemas.openxmlformats.org/officeDocument/2006/relationships/hyperlink" Target="https://helpx.adobe.com/security.html" TargetMode="External"/><Relationship Id="rId78" Type="http://schemas.openxmlformats.org/officeDocument/2006/relationships/table" Target="../tables/table1.xml"/><Relationship Id="rId4" Type="http://schemas.openxmlformats.org/officeDocument/2006/relationships/hyperlink" Target="https://helpx.adobe.com/security.html" TargetMode="External"/><Relationship Id="rId9" Type="http://schemas.openxmlformats.org/officeDocument/2006/relationships/hyperlink" Target="https://chromiumdash.appspot.com/releases?platform=Windows" TargetMode="External"/><Relationship Id="rId14" Type="http://schemas.openxmlformats.org/officeDocument/2006/relationships/hyperlink" Target="https://docs.microsoft.com/en-us/DeployEdge/microsoft-edge-relnote-stable-channel" TargetMode="External"/><Relationship Id="rId22" Type="http://schemas.openxmlformats.org/officeDocument/2006/relationships/hyperlink" Target="https://get.adobe.com/jp/air/" TargetMode="External"/><Relationship Id="rId27" Type="http://schemas.openxmlformats.org/officeDocument/2006/relationships/hyperlink" Target="http://www.rimarts.co.jp/becky-j.htm" TargetMode="External"/><Relationship Id="rId30" Type="http://schemas.openxmlformats.org/officeDocument/2006/relationships/hyperlink" Target="https://chromereleases.googleblog.com/" TargetMode="External"/><Relationship Id="rId35" Type="http://schemas.openxmlformats.org/officeDocument/2006/relationships/hyperlink" Target="https://www.oracle.com/java/technologies/javase-jre8-downloads.html" TargetMode="External"/><Relationship Id="rId43" Type="http://schemas.openxmlformats.org/officeDocument/2006/relationships/hyperlink" Target="https://docs.microsoft.com/en-us/DeployEdge/microsoft-edge-relnotes-security" TargetMode="External"/><Relationship Id="rId48" Type="http://schemas.openxmlformats.org/officeDocument/2006/relationships/hyperlink" Target="https://jvndb.jvn.jp/apis/myjvn/mjdashboard.html" TargetMode="External"/><Relationship Id="rId56" Type="http://schemas.openxmlformats.org/officeDocument/2006/relationships/hyperlink" Target="https://www.openoffice.org/download/" TargetMode="External"/><Relationship Id="rId64" Type="http://schemas.openxmlformats.org/officeDocument/2006/relationships/hyperlink" Target="https://portal.msrc.microsoft.com/en-us/security-guidance" TargetMode="External"/><Relationship Id="rId69" Type="http://schemas.openxmlformats.org/officeDocument/2006/relationships/hyperlink" Target="https://support.microsoft.com/en-us/help/4009470/windows-8-1-windows-server-2012-r2-update-history" TargetMode="External"/><Relationship Id="rId77" Type="http://schemas.openxmlformats.org/officeDocument/2006/relationships/drawing" Target="../drawings/drawing2.xml"/><Relationship Id="rId8" Type="http://schemas.openxmlformats.org/officeDocument/2006/relationships/hyperlink" Target="http://www.rimarts.com/downloads/B2/Readme.txt" TargetMode="External"/><Relationship Id="rId51" Type="http://schemas.openxmlformats.org/officeDocument/2006/relationships/hyperlink" Target="https://www.mozilla.org/en-US/security/known-vulnerabilities/firefox-esr/" TargetMode="External"/><Relationship Id="rId72" Type="http://schemas.openxmlformats.org/officeDocument/2006/relationships/hyperlink" Target="https://get.adobe.com/jp/flashplayer/" TargetMode="External"/><Relationship Id="rId3" Type="http://schemas.openxmlformats.org/officeDocument/2006/relationships/hyperlink" Target="https://helpx.adobe.com/security.html" TargetMode="External"/><Relationship Id="rId12" Type="http://schemas.openxmlformats.org/officeDocument/2006/relationships/hyperlink" Target="http://www7a.biglobe.ne.jp/~schezo/" TargetMode="External"/><Relationship Id="rId17" Type="http://schemas.openxmlformats.org/officeDocument/2006/relationships/hyperlink" Target="https://jvndb.jvn.jp/apis/myjvn/mjdashboard.html" TargetMode="External"/><Relationship Id="rId25" Type="http://schemas.openxmlformats.org/officeDocument/2006/relationships/hyperlink" Target="https://www.wireshark.org/download.html" TargetMode="External"/><Relationship Id="rId33" Type="http://schemas.openxmlformats.org/officeDocument/2006/relationships/hyperlink" Target="https://www.ipa.go.jp/security/vuln/iLogScanner/" TargetMode="External"/><Relationship Id="rId38" Type="http://schemas.openxmlformats.org/officeDocument/2006/relationships/hyperlink" Target="https://ja.libreoffice.org/download/libreoffice-fresh/" TargetMode="External"/><Relationship Id="rId46" Type="http://schemas.openxmlformats.org/officeDocument/2006/relationships/hyperlink" Target="https://jvndb.jvn.jp/apis/myjvn/mjcheck3.html" TargetMode="External"/><Relationship Id="rId59" Type="http://schemas.openxmlformats.org/officeDocument/2006/relationships/hyperlink" Target="https://osdn.net/projects/ttssh2/releases/" TargetMode="External"/><Relationship Id="rId67" Type="http://schemas.openxmlformats.org/officeDocument/2006/relationships/hyperlink" Target="https://winscp.net/eng/download.php" TargetMode="External"/><Relationship Id="rId20" Type="http://schemas.openxmlformats.org/officeDocument/2006/relationships/hyperlink" Target="https://www.mozilla.org/en-US/thunderbird/releases/" TargetMode="External"/><Relationship Id="rId41" Type="http://schemas.openxmlformats.org/officeDocument/2006/relationships/hyperlink" Target="https://lunascape.zendesk.com/hc/ja/categories/202515218-%E3%81%8A%E7%9F%A5%E3%82%89%E3%81%9B" TargetMode="External"/><Relationship Id="rId54" Type="http://schemas.openxmlformats.org/officeDocument/2006/relationships/hyperlink" Target="https://jvndb.jvn.jp/apis/myjvn/vccheckdotnet.html" TargetMode="External"/><Relationship Id="rId62" Type="http://schemas.openxmlformats.org/officeDocument/2006/relationships/hyperlink" Target="https://www.vmware.com/security/advisories.html" TargetMode="External"/><Relationship Id="rId70" Type="http://schemas.openxmlformats.org/officeDocument/2006/relationships/hyperlink" Target="https://helpx.adobe.com/flash-player/release-note/fp_32_air_32_release_notes.html" TargetMode="External"/><Relationship Id="rId75" Type="http://schemas.openxmlformats.org/officeDocument/2006/relationships/hyperlink" Target="http://www7a.biglobe.ne.jp/~schezo/" TargetMode="External"/><Relationship Id="rId1" Type="http://schemas.openxmlformats.org/officeDocument/2006/relationships/hyperlink" Target="https://get.adobe.com/jp/flashplayer/" TargetMode="External"/><Relationship Id="rId6" Type="http://schemas.openxmlformats.org/officeDocument/2006/relationships/hyperlink" Target="https://www.adobe.com/devnet-docs/acrobatetk/tools/ReleaseNotesDC/index.html"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jvndb.jvn.jp/index.html" TargetMode="External"/><Relationship Id="rId18" Type="http://schemas.openxmlformats.org/officeDocument/2006/relationships/hyperlink" Target="https://www.theregister.co.uk/security/" TargetMode="External"/><Relationship Id="rId26" Type="http://schemas.openxmlformats.org/officeDocument/2006/relationships/hyperlink" Target="https://tools.cisco.com/security/center/publicationListing.x" TargetMode="External"/><Relationship Id="rId39" Type="http://schemas.openxmlformats.org/officeDocument/2006/relationships/hyperlink" Target="https://www.npa.go.jp/cyberpolice/" TargetMode="External"/><Relationship Id="rId21" Type="http://schemas.openxmlformats.org/officeDocument/2006/relationships/hyperlink" Target="https://www.atmarkit.co.jp/ait/subtop/security.html" TargetMode="External"/><Relationship Id="rId34" Type="http://schemas.openxmlformats.org/officeDocument/2006/relationships/hyperlink" Target="http://httpd.apache.org/security/vulnerabilities_24.html" TargetMode="External"/><Relationship Id="rId42" Type="http://schemas.openxmlformats.org/officeDocument/2006/relationships/hyperlink" Target="https://us-cert.cisa.gov/ics/alerts" TargetMode="External"/><Relationship Id="rId47" Type="http://schemas.openxmlformats.org/officeDocument/2006/relationships/hyperlink" Target="https://forest.watch.impress.co.jp/" TargetMode="External"/><Relationship Id="rId50" Type="http://schemas.openxmlformats.org/officeDocument/2006/relationships/hyperlink" Target="https://kb.isc.org/docs/aa-00913" TargetMode="External"/><Relationship Id="rId55" Type="http://schemas.openxmlformats.org/officeDocument/2006/relationships/drawing" Target="../drawings/drawing3.xml"/><Relationship Id="rId7" Type="http://schemas.openxmlformats.org/officeDocument/2006/relationships/hyperlink" Target="https://www.itmedia.co.jp/enterprise/subtop/security/index.html" TargetMode="External"/><Relationship Id="rId12" Type="http://schemas.openxmlformats.org/officeDocument/2006/relationships/hyperlink" Target="https://internet.watch.impress.co.jp/category/topic/security/" TargetMode="External"/><Relationship Id="rId17" Type="http://schemas.openxmlformats.org/officeDocument/2006/relationships/hyperlink" Target="https://www.computerworld.com/category/security/" TargetMode="External"/><Relationship Id="rId25" Type="http://schemas.openxmlformats.org/officeDocument/2006/relationships/hyperlink" Target="https://source.android.com/security/bulletin" TargetMode="External"/><Relationship Id="rId33" Type="http://schemas.openxmlformats.org/officeDocument/2006/relationships/hyperlink" Target="https://appweb.trendmicro.com/supportNews/" TargetMode="External"/><Relationship Id="rId38" Type="http://schemas.openxmlformats.org/officeDocument/2006/relationships/hyperlink" Target="https://twitter.com/nisc_forecast" TargetMode="External"/><Relationship Id="rId46" Type="http://schemas.openxmlformats.org/officeDocument/2006/relationships/hyperlink" Target="https://www.jpcert.or.jp/newsflash/" TargetMode="External"/><Relationship Id="rId59" Type="http://schemas.openxmlformats.org/officeDocument/2006/relationships/table" Target="../tables/table5.xml"/><Relationship Id="rId2" Type="http://schemas.openxmlformats.org/officeDocument/2006/relationships/hyperlink" Target="https://www.jpcert.or.jp/at/2020.html" TargetMode="External"/><Relationship Id="rId16" Type="http://schemas.openxmlformats.org/officeDocument/2006/relationships/hyperlink" Target="https://www.exploit-db.com/" TargetMode="External"/><Relationship Id="rId20" Type="http://schemas.openxmlformats.org/officeDocument/2006/relationships/hyperlink" Target="https://news.yahoo.co.jp/categories/it" TargetMode="External"/><Relationship Id="rId29" Type="http://schemas.openxmlformats.org/officeDocument/2006/relationships/hyperlink" Target="https://jpn.nec.com/security-info/" TargetMode="External"/><Relationship Id="rId41" Type="http://schemas.openxmlformats.org/officeDocument/2006/relationships/hyperlink" Target="https://us-cert.cisa.gov/ncas/current-activity" TargetMode="External"/><Relationship Id="rId54" Type="http://schemas.openxmlformats.org/officeDocument/2006/relationships/printerSettings" Target="../printerSettings/printerSettings3.bin"/><Relationship Id="rId1" Type="http://schemas.openxmlformats.org/officeDocument/2006/relationships/hyperlink" Target="https://www.ipa.go.jp/security/announce/alert.html" TargetMode="External"/><Relationship Id="rId6" Type="http://schemas.openxmlformats.org/officeDocument/2006/relationships/hyperlink" Target="https://tech.nikkeibp.co.jp/genre/security/" TargetMode="External"/><Relationship Id="rId11" Type="http://schemas.openxmlformats.org/officeDocument/2006/relationships/hyperlink" Target="https://www.security-next.com/" TargetMode="External"/><Relationship Id="rId24" Type="http://schemas.openxmlformats.org/officeDocument/2006/relationships/hyperlink" Target="https://portal.msrc.microsoft.com/ja-jp/security-guidance" TargetMode="External"/><Relationship Id="rId32" Type="http://schemas.openxmlformats.org/officeDocument/2006/relationships/hyperlink" Target="http://www.hitachi.co.jp/hirt/security/index.html" TargetMode="External"/><Relationship Id="rId37" Type="http://schemas.openxmlformats.org/officeDocument/2006/relationships/hyperlink" Target="https://support.apple.com/en-us/HT201222" TargetMode="External"/><Relationship Id="rId40" Type="http://schemas.openxmlformats.org/officeDocument/2006/relationships/hyperlink" Target="https://us-cert.cisa.gov/ncas/alerts" TargetMode="External"/><Relationship Id="rId45" Type="http://schemas.openxmlformats.org/officeDocument/2006/relationships/hyperlink" Target="https://www.ncsc.gov.uk/section/keep-up-to-date/reports-advisories" TargetMode="External"/><Relationship Id="rId53" Type="http://schemas.openxmlformats.org/officeDocument/2006/relationships/hyperlink" Target="https://wordpress.org/news/category/security/" TargetMode="External"/><Relationship Id="rId58" Type="http://schemas.openxmlformats.org/officeDocument/2006/relationships/table" Target="../tables/table4.xml"/><Relationship Id="rId5" Type="http://schemas.openxmlformats.org/officeDocument/2006/relationships/hyperlink" Target="https://www.kb.cert.org/vuls/" TargetMode="External"/><Relationship Id="rId15" Type="http://schemas.openxmlformats.org/officeDocument/2006/relationships/hyperlink" Target="https://www.metasploit.com/" TargetMode="External"/><Relationship Id="rId23" Type="http://schemas.openxmlformats.org/officeDocument/2006/relationships/hyperlink" Target="https://threatpost.com/" TargetMode="External"/><Relationship Id="rId28" Type="http://schemas.openxmlformats.org/officeDocument/2006/relationships/hyperlink" Target="https://www.ibm.com/blogs/psirt/" TargetMode="External"/><Relationship Id="rId36" Type="http://schemas.openxmlformats.org/officeDocument/2006/relationships/hyperlink" Target="https://www.oracle.com/security-alerts/" TargetMode="External"/><Relationship Id="rId49" Type="http://schemas.openxmlformats.org/officeDocument/2006/relationships/hyperlink" Target="https://tomcat.apache.org/security.html" TargetMode="External"/><Relationship Id="rId57" Type="http://schemas.openxmlformats.org/officeDocument/2006/relationships/table" Target="../tables/table3.xml"/><Relationship Id="rId10" Type="http://schemas.openxmlformats.org/officeDocument/2006/relationships/hyperlink" Target="https://japan.zdnet.com/security/" TargetMode="External"/><Relationship Id="rId19" Type="http://schemas.openxmlformats.org/officeDocument/2006/relationships/hyperlink" Target="https://www.bleepingcomputer.com/" TargetMode="External"/><Relationship Id="rId31" Type="http://schemas.openxmlformats.org/officeDocument/2006/relationships/hyperlink" Target="https://helpx.adobe.com/security.html" TargetMode="External"/><Relationship Id="rId44" Type="http://schemas.openxmlformats.org/officeDocument/2006/relationships/hyperlink" Target="https://www.lac.co.jp/lacwatch/alert/" TargetMode="External"/><Relationship Id="rId52" Type="http://schemas.openxmlformats.org/officeDocument/2006/relationships/hyperlink" Target="https://www.openssl.org/news/vulnerabilities.html" TargetMode="External"/><Relationship Id="rId4" Type="http://schemas.openxmlformats.org/officeDocument/2006/relationships/hyperlink" Target="https://nvd.nist.gov/vuln/search" TargetMode="External"/><Relationship Id="rId9" Type="http://schemas.openxmlformats.org/officeDocument/2006/relationships/hyperlink" Target="https://japan.cnet.com/news/sec/" TargetMode="External"/><Relationship Id="rId14" Type="http://schemas.openxmlformats.org/officeDocument/2006/relationships/hyperlink" Target="https://www.rapid7.com/db/?q=&amp;type=nexpose" TargetMode="External"/><Relationship Id="rId22" Type="http://schemas.openxmlformats.org/officeDocument/2006/relationships/hyperlink" Target="https://news.mynavi.jp/top/business/enterprise/security/" TargetMode="External"/><Relationship Id="rId27" Type="http://schemas.openxmlformats.org/officeDocument/2006/relationships/hyperlink" Target="https://support.hp.com/jp-ja/security-bulletins" TargetMode="External"/><Relationship Id="rId30" Type="http://schemas.openxmlformats.org/officeDocument/2006/relationships/hyperlink" Target="https://www.fujitsu.com/jp/support/security/" TargetMode="External"/><Relationship Id="rId35" Type="http://schemas.openxmlformats.org/officeDocument/2006/relationships/hyperlink" Target="https://jp.broadcom.com/support/security-center/securityupdates/list" TargetMode="External"/><Relationship Id="rId43" Type="http://schemas.openxmlformats.org/officeDocument/2006/relationships/hyperlink" Target="https://www.spread.or.jp/security_info/" TargetMode="External"/><Relationship Id="rId48" Type="http://schemas.openxmlformats.org/officeDocument/2006/relationships/hyperlink" Target="https://cwiki.apache.org/confluence/display/WW/Security+Bulletins" TargetMode="External"/><Relationship Id="rId56" Type="http://schemas.openxmlformats.org/officeDocument/2006/relationships/table" Target="../tables/table2.xml"/><Relationship Id="rId8" Type="http://schemas.openxmlformats.org/officeDocument/2006/relationships/hyperlink" Target="https://scan.netsecurity.ne.jp/" TargetMode="External"/><Relationship Id="rId51" Type="http://schemas.openxmlformats.org/officeDocument/2006/relationships/hyperlink" Target="https://developer.joomla.org/security-centre.html" TargetMode="External"/><Relationship Id="rId3" Type="http://schemas.openxmlformats.org/officeDocument/2006/relationships/hyperlink" Target="https://jvn.jp/"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7" Type="http://schemas.openxmlformats.org/officeDocument/2006/relationships/table" Target="../tables/table10.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zdnet.com/topic/security/" TargetMode="External"/><Relationship Id="rId13" Type="http://schemas.openxmlformats.org/officeDocument/2006/relationships/table" Target="../tables/table14.xml"/><Relationship Id="rId3" Type="http://schemas.openxmlformats.org/officeDocument/2006/relationships/hyperlink" Target="https://forest.watch.impress.co.jp/docs/news/1276232.html" TargetMode="External"/><Relationship Id="rId7" Type="http://schemas.openxmlformats.org/officeDocument/2006/relationships/hyperlink" Target="https://portal.msrc.microsoft.com/ja-JP/security-guidance/advisory/CVE-2020-1252" TargetMode="External"/><Relationship Id="rId12" Type="http://schemas.openxmlformats.org/officeDocument/2006/relationships/table" Target="../tables/table13.xml"/><Relationship Id="rId2" Type="http://schemas.openxmlformats.org/officeDocument/2006/relationships/hyperlink" Target="https://portal.msrc.microsoft.com/en-us/security-guidance/advisory/ADV200002" TargetMode="External"/><Relationship Id="rId1" Type="http://schemas.openxmlformats.org/officeDocument/2006/relationships/hyperlink" Target="https://portal.msrc.microsoft.com/en-us/security-guidance/releasenotedetail/2020-Sep" TargetMode="External"/><Relationship Id="rId6" Type="http://schemas.openxmlformats.org/officeDocument/2006/relationships/hyperlink" Target="https://www.jpcert.or.jp/at/2020/at200036.html" TargetMode="External"/><Relationship Id="rId11" Type="http://schemas.openxmlformats.org/officeDocument/2006/relationships/drawing" Target="../drawings/drawing7.xml"/><Relationship Id="rId5" Type="http://schemas.openxmlformats.org/officeDocument/2006/relationships/hyperlink" Target="https://www.ipa.go.jp/security/ciadr/vul/20200909-ms.html" TargetMode="External"/><Relationship Id="rId15" Type="http://schemas.openxmlformats.org/officeDocument/2006/relationships/table" Target="../tables/table16.xml"/><Relationship Id="rId10" Type="http://schemas.openxmlformats.org/officeDocument/2006/relationships/printerSettings" Target="../printerSettings/printerSettings7.bin"/><Relationship Id="rId4" Type="http://schemas.openxmlformats.org/officeDocument/2006/relationships/hyperlink" Target="https://docs.microsoft.com/en-us/DeployEdge/microsoft-edge-relnotes-security" TargetMode="External"/><Relationship Id="rId9" Type="http://schemas.openxmlformats.org/officeDocument/2006/relationships/hyperlink" Target="https://thehackernews.com/" TargetMode="External"/><Relationship Id="rId14" Type="http://schemas.openxmlformats.org/officeDocument/2006/relationships/table" Target="../tables/table15.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jvndb.jvn.jp/cvss/ja/v3.html" TargetMode="External"/><Relationship Id="rId4" Type="http://schemas.openxmlformats.org/officeDocument/2006/relationships/table" Target="../tables/table17.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510F4-EC52-45F9-86ED-476FC00C1A10}">
  <sheetPr>
    <tabColor theme="0"/>
  </sheetPr>
  <dimension ref="A1:C75"/>
  <sheetViews>
    <sheetView showGridLines="0" tabSelected="1" showRuler="0" zoomScaleNormal="100" zoomScaleSheetLayoutView="100" workbookViewId="0">
      <selection activeCell="A2" sqref="A2"/>
    </sheetView>
  </sheetViews>
  <sheetFormatPr defaultColWidth="10.625" defaultRowHeight="18.75" customHeight="1"/>
  <cols>
    <col min="1" max="1" width="37.125" style="9" customWidth="1"/>
    <col min="2" max="2" width="84.5" style="9" customWidth="1"/>
    <col min="3" max="16384" width="10.625" style="9"/>
  </cols>
  <sheetData>
    <row r="1" spans="1:3" ht="18.75" customHeight="1" thickBot="1">
      <c r="A1" s="8" t="s">
        <v>382</v>
      </c>
      <c r="C1" s="222" t="s">
        <v>381</v>
      </c>
    </row>
    <row r="2" spans="1:3" ht="18.75" customHeight="1">
      <c r="A2" s="10"/>
    </row>
    <row r="3" spans="1:3" ht="18.75" customHeight="1">
      <c r="A3" s="10" t="s">
        <v>71</v>
      </c>
    </row>
    <row r="4" spans="1:3" ht="18.75" customHeight="1">
      <c r="A4" s="10" t="s">
        <v>374</v>
      </c>
    </row>
    <row r="5" spans="1:3" ht="78" customHeight="1">
      <c r="A5" s="223" t="s">
        <v>375</v>
      </c>
      <c r="B5" s="223"/>
    </row>
    <row r="6" spans="1:3" ht="39.950000000000003" customHeight="1">
      <c r="A6" s="223" t="s">
        <v>120</v>
      </c>
      <c r="B6" s="223"/>
    </row>
    <row r="8" spans="1:3" ht="18.75" customHeight="1">
      <c r="A8" s="9" t="s">
        <v>72</v>
      </c>
    </row>
    <row r="13" spans="1:3" ht="18.75" customHeight="1">
      <c r="A13" s="9" t="s">
        <v>253</v>
      </c>
    </row>
    <row r="14" spans="1:3" ht="18.75" customHeight="1">
      <c r="A14" s="149" t="s">
        <v>252</v>
      </c>
    </row>
    <row r="16" spans="1:3" ht="18.75" customHeight="1">
      <c r="A16" s="10" t="s">
        <v>256</v>
      </c>
    </row>
    <row r="17" spans="1:3" ht="39.950000000000003" customHeight="1">
      <c r="A17" s="223" t="s">
        <v>376</v>
      </c>
      <c r="B17" s="223"/>
    </row>
    <row r="18" spans="1:3" ht="18.75" customHeight="1">
      <c r="A18" s="79"/>
      <c r="B18" s="79"/>
    </row>
    <row r="19" spans="1:3" ht="18.75" customHeight="1">
      <c r="A19" s="10" t="s">
        <v>155</v>
      </c>
    </row>
    <row r="20" spans="1:3" ht="156" customHeight="1">
      <c r="A20" s="223" t="s">
        <v>377</v>
      </c>
      <c r="B20" s="224"/>
    </row>
    <row r="21" spans="1:3" ht="18.75" customHeight="1">
      <c r="A21" s="11"/>
      <c r="B21" s="11"/>
    </row>
    <row r="22" spans="1:3" ht="18.75" customHeight="1">
      <c r="A22" s="10" t="s">
        <v>121</v>
      </c>
      <c r="B22" s="11"/>
    </row>
    <row r="23" spans="1:3" ht="39.950000000000003" customHeight="1">
      <c r="A23" s="223" t="s">
        <v>378</v>
      </c>
      <c r="B23" s="223"/>
    </row>
    <row r="24" spans="1:3" ht="18.75" customHeight="1">
      <c r="B24" s="11"/>
      <c r="C24" s="49"/>
    </row>
    <row r="25" spans="1:3" ht="18.75" customHeight="1">
      <c r="A25" s="10" t="s">
        <v>350</v>
      </c>
    </row>
    <row r="26" spans="1:3" ht="50.1" customHeight="1">
      <c r="A26" s="86" t="s">
        <v>154</v>
      </c>
      <c r="B26" s="87" t="s">
        <v>152</v>
      </c>
    </row>
    <row r="27" spans="1:3" ht="50.1" customHeight="1">
      <c r="A27" s="12" t="s">
        <v>379</v>
      </c>
      <c r="B27" s="12" t="s">
        <v>380</v>
      </c>
    </row>
    <row r="28" spans="1:3" ht="50.1" customHeight="1">
      <c r="A28" s="13" t="s">
        <v>74</v>
      </c>
      <c r="B28" s="13" t="s">
        <v>258</v>
      </c>
    </row>
    <row r="29" spans="1:3" ht="50.1" customHeight="1">
      <c r="A29" s="12" t="s">
        <v>70</v>
      </c>
      <c r="B29" s="12" t="s">
        <v>259</v>
      </c>
    </row>
    <row r="30" spans="1:3" ht="50.1" customHeight="1">
      <c r="A30" s="13" t="s">
        <v>153</v>
      </c>
      <c r="B30" s="13" t="s">
        <v>260</v>
      </c>
    </row>
    <row r="32" spans="1:3" ht="18.75" customHeight="1">
      <c r="A32" s="10" t="s">
        <v>351</v>
      </c>
    </row>
    <row r="33" spans="1:2" ht="50.1" customHeight="1">
      <c r="A33" s="84" t="s">
        <v>154</v>
      </c>
      <c r="B33" s="85" t="s">
        <v>152</v>
      </c>
    </row>
    <row r="34" spans="1:2" ht="50.1" customHeight="1">
      <c r="A34" s="14" t="s">
        <v>257</v>
      </c>
      <c r="B34" s="14" t="s">
        <v>359</v>
      </c>
    </row>
    <row r="35" spans="1:2" ht="50.1" customHeight="1">
      <c r="A35" s="13" t="s">
        <v>275</v>
      </c>
      <c r="B35" s="13" t="s">
        <v>355</v>
      </c>
    </row>
    <row r="36" spans="1:2" ht="50.1" customHeight="1">
      <c r="A36" s="14" t="s">
        <v>276</v>
      </c>
      <c r="B36" s="14" t="s">
        <v>356</v>
      </c>
    </row>
    <row r="37" spans="1:2" ht="50.1" customHeight="1">
      <c r="A37" s="13" t="s">
        <v>271</v>
      </c>
      <c r="B37" s="13" t="s">
        <v>156</v>
      </c>
    </row>
    <row r="38" spans="1:2" ht="50.1" customHeight="1">
      <c r="A38" s="14" t="s">
        <v>270</v>
      </c>
      <c r="B38" s="14" t="s">
        <v>358</v>
      </c>
    </row>
    <row r="40" spans="1:2" ht="18.75" customHeight="1">
      <c r="A40" s="10" t="s">
        <v>352</v>
      </c>
    </row>
    <row r="41" spans="1:2" ht="39.950000000000003" customHeight="1">
      <c r="A41" s="223" t="s">
        <v>357</v>
      </c>
      <c r="B41" s="223"/>
    </row>
    <row r="48" spans="1:2" ht="18.75" customHeight="1">
      <c r="A48" s="10" t="s">
        <v>353</v>
      </c>
    </row>
    <row r="49" spans="1:2" ht="50.1" customHeight="1">
      <c r="A49" s="86" t="s">
        <v>154</v>
      </c>
      <c r="B49" s="87" t="s">
        <v>151</v>
      </c>
    </row>
    <row r="50" spans="1:2" ht="80.099999999999994" customHeight="1">
      <c r="A50" s="12" t="s">
        <v>242</v>
      </c>
      <c r="B50" s="12" t="s">
        <v>361</v>
      </c>
    </row>
    <row r="51" spans="1:2" ht="80.099999999999994" customHeight="1">
      <c r="A51" s="13" t="s">
        <v>124</v>
      </c>
      <c r="B51" s="13" t="s">
        <v>369</v>
      </c>
    </row>
    <row r="52" spans="1:2" ht="80.099999999999994" customHeight="1">
      <c r="A52" s="12" t="s">
        <v>125</v>
      </c>
      <c r="B52" s="12" t="s">
        <v>362</v>
      </c>
    </row>
    <row r="53" spans="1:2" ht="80.099999999999994" customHeight="1">
      <c r="A53" s="13" t="s">
        <v>126</v>
      </c>
      <c r="B53" s="13" t="s">
        <v>363</v>
      </c>
    </row>
    <row r="54" spans="1:2" ht="80.099999999999994" customHeight="1">
      <c r="A54" s="50" t="s">
        <v>127</v>
      </c>
      <c r="B54" s="50" t="s">
        <v>372</v>
      </c>
    </row>
    <row r="56" spans="1:2" ht="18.75" customHeight="1">
      <c r="A56" s="10" t="s">
        <v>279</v>
      </c>
    </row>
    <row r="57" spans="1:2" ht="39.950000000000003" customHeight="1">
      <c r="A57" s="223" t="s">
        <v>336</v>
      </c>
      <c r="B57" s="223"/>
    </row>
    <row r="59" spans="1:2" ht="18.75" customHeight="1">
      <c r="A59" s="10"/>
    </row>
    <row r="60" spans="1:2" ht="18.75" customHeight="1">
      <c r="A60" s="223"/>
      <c r="B60" s="224"/>
    </row>
    <row r="64" spans="1:2" ht="18.75" customHeight="1">
      <c r="A64" s="10" t="s">
        <v>280</v>
      </c>
    </row>
    <row r="65" spans="1:2" ht="50.1" customHeight="1">
      <c r="A65" s="81" t="s">
        <v>154</v>
      </c>
      <c r="B65" s="82" t="s">
        <v>151</v>
      </c>
    </row>
    <row r="66" spans="1:2" ht="80.099999999999994" customHeight="1">
      <c r="A66" s="51" t="s">
        <v>241</v>
      </c>
      <c r="B66" s="51" t="s">
        <v>364</v>
      </c>
    </row>
    <row r="67" spans="1:2" ht="80.099999999999994" customHeight="1">
      <c r="A67" s="13" t="s">
        <v>232</v>
      </c>
      <c r="B67" s="13" t="s">
        <v>373</v>
      </c>
    </row>
    <row r="68" spans="1:2" ht="80.099999999999994" customHeight="1">
      <c r="A68" s="51" t="s">
        <v>231</v>
      </c>
      <c r="B68" s="51" t="s">
        <v>360</v>
      </c>
    </row>
    <row r="69" spans="1:2" ht="80.099999999999994" customHeight="1">
      <c r="A69" s="13" t="s">
        <v>128</v>
      </c>
      <c r="B69" s="13" t="s">
        <v>354</v>
      </c>
    </row>
    <row r="70" spans="1:2" ht="80.099999999999994" customHeight="1">
      <c r="A70" s="83" t="s">
        <v>122</v>
      </c>
      <c r="B70" s="52" t="s">
        <v>365</v>
      </c>
    </row>
    <row r="72" spans="1:2" ht="18.75" customHeight="1">
      <c r="A72" s="9" t="s">
        <v>338</v>
      </c>
    </row>
    <row r="73" spans="1:2" ht="18.75" customHeight="1">
      <c r="A73" s="9" t="s">
        <v>348</v>
      </c>
    </row>
    <row r="74" spans="1:2" ht="18.75" customHeight="1">
      <c r="A74" s="9" t="s">
        <v>349</v>
      </c>
    </row>
    <row r="75" spans="1:2" ht="18.75" customHeight="1">
      <c r="A75" s="149" t="s">
        <v>251</v>
      </c>
    </row>
  </sheetData>
  <mergeCells count="8">
    <mergeCell ref="A60:B60"/>
    <mergeCell ref="A57:B57"/>
    <mergeCell ref="A23:B23"/>
    <mergeCell ref="A5:B5"/>
    <mergeCell ref="A6:B6"/>
    <mergeCell ref="A17:B17"/>
    <mergeCell ref="A41:B41"/>
    <mergeCell ref="A20:B20"/>
  </mergeCells>
  <phoneticPr fontId="2"/>
  <hyperlinks>
    <hyperlink ref="A14" r:id="rId1" xr:uid="{EF329085-44C8-46C4-A9CF-37DFF9EEAE93}"/>
    <hyperlink ref="A75" r:id="rId2" xr:uid="{B12E0904-D263-44B9-9DE2-746A219DBDE1}"/>
  </hyperlinks>
  <printOptions horizontalCentered="1"/>
  <pageMargins left="0.23622047244094491" right="0.23622047244094491" top="0.19685039370078741" bottom="0.19685039370078741" header="0.31496062992125984" footer="0.31496062992125984"/>
  <pageSetup paperSize="9" scale="59" orientation="portrait" r:id="rId3"/>
  <rowBreaks count="2" manualBreakCount="2">
    <brk id="39" max="16383" man="1"/>
    <brk id="76" max="2" man="1"/>
  </rowBreaks>
  <colBreaks count="1" manualBreakCount="1">
    <brk id="3" max="82" man="1"/>
  </col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FB0A0-8EE6-44A1-BF0B-CD25E9EAECE9}">
  <sheetPr>
    <tabColor theme="8" tint="0.59999389629810485"/>
    <pageSetUpPr fitToPage="1"/>
  </sheetPr>
  <dimension ref="A1:F33"/>
  <sheetViews>
    <sheetView showGridLines="0" showRuler="0" zoomScaleNormal="100" zoomScaleSheetLayoutView="40" zoomScalePageLayoutView="40" workbookViewId="0">
      <selection activeCell="A2" sqref="A2"/>
    </sheetView>
  </sheetViews>
  <sheetFormatPr defaultColWidth="10.625" defaultRowHeight="18.75"/>
  <cols>
    <col min="1" max="1" width="4.875" style="132" customWidth="1"/>
    <col min="2" max="6" width="34.875" style="133" customWidth="1"/>
  </cols>
  <sheetData>
    <row r="1" spans="1:6" ht="19.5">
      <c r="A1" s="15" t="s">
        <v>243</v>
      </c>
      <c r="B1" s="16"/>
      <c r="C1" s="16"/>
      <c r="D1" s="16"/>
      <c r="E1" s="16"/>
      <c r="F1" s="16"/>
    </row>
    <row r="2" spans="1:6">
      <c r="A2" s="4"/>
      <c r="B2" s="17"/>
      <c r="C2" s="6"/>
      <c r="D2" s="6"/>
      <c r="E2" s="6"/>
      <c r="F2" s="6"/>
    </row>
    <row r="3" spans="1:6" ht="28.5">
      <c r="A3" s="105" t="s">
        <v>3</v>
      </c>
      <c r="B3" s="106" t="s">
        <v>15</v>
      </c>
      <c r="C3" s="106" t="s">
        <v>133</v>
      </c>
      <c r="D3" s="106" t="s">
        <v>134</v>
      </c>
      <c r="E3" s="178" t="s">
        <v>131</v>
      </c>
      <c r="F3" s="107" t="s">
        <v>132</v>
      </c>
    </row>
    <row r="4" spans="1:6" ht="63.75">
      <c r="A4" s="92">
        <f t="shared" ref="A4:A33" si="0">ROW()-3</f>
        <v>1</v>
      </c>
      <c r="B4" s="102" t="s">
        <v>239</v>
      </c>
      <c r="C4" s="101" t="s">
        <v>110</v>
      </c>
      <c r="D4" s="183" t="str">
        <f>HYPERLINK("https://www.adobe.com/devnet-docs/acrobatetk/tools/ReleaseNotesDC/index.html#classic-track")</f>
        <v>https://www.adobe.com/devnet-docs/acrobatetk/tools/ReleaseNotesDC/index.html#classic-track</v>
      </c>
      <c r="E4" s="183" t="str">
        <f>HYPERLINK("https://helpx.adobe.com/jp/download-install/kb/acrobat-2020-downloads.html")</f>
        <v>https://helpx.adobe.com/jp/download-install/kb/acrobat-2020-downloads.html</v>
      </c>
      <c r="F4" s="187" t="str">
        <f>HYPERLINK("https://helpx.adobe.com/security.html#acrobat")</f>
        <v>https://helpx.adobe.com/security.html#acrobat</v>
      </c>
    </row>
    <row r="5" spans="1:6" ht="63.75">
      <c r="A5" s="92">
        <f t="shared" si="0"/>
        <v>2</v>
      </c>
      <c r="B5" s="102" t="s">
        <v>108</v>
      </c>
      <c r="C5" s="101" t="s">
        <v>110</v>
      </c>
      <c r="D5" s="183" t="str">
        <f>HYPERLINK("https://www.adobe.com/devnet-docs/acrobatetk/tools/ReleaseNotesDC/index.html")</f>
        <v>https://www.adobe.com/devnet-docs/acrobatetk/tools/ReleaseNotesDC/index.html</v>
      </c>
      <c r="E5" s="183" t="str">
        <f>HYPERLINK("https://get.adobe.com/jp/reader/")</f>
        <v>https://get.adobe.com/jp/reader/</v>
      </c>
      <c r="F5" s="187" t="str">
        <f>HYPERLINK("https://helpx.adobe.com/security.html#acrobat")</f>
        <v>https://helpx.adobe.com/security.html#acrobat</v>
      </c>
    </row>
    <row r="6" spans="1:6" ht="63.75">
      <c r="A6" s="92">
        <f t="shared" si="0"/>
        <v>3</v>
      </c>
      <c r="B6" s="103" t="s">
        <v>116</v>
      </c>
      <c r="C6" s="101" t="s">
        <v>110</v>
      </c>
      <c r="D6" s="114" t="str">
        <f>HYPERLINK("https://helpx.adobe.com/flash-player/release-note/fp_32_air_32_release_notes.html#released_versions")</f>
        <v>https://helpx.adobe.com/flash-player/release-note/fp_32_air_32_release_notes.html#released_versions</v>
      </c>
      <c r="E6" s="183" t="str">
        <f>HYPERLINK("https://get.adobe.com/jp/air/")</f>
        <v>https://get.adobe.com/jp/air/</v>
      </c>
      <c r="F6" s="187" t="str">
        <f>HYPERLINK("https://helpx.adobe.com/security.html#air")</f>
        <v>https://helpx.adobe.com/security.html#air</v>
      </c>
    </row>
    <row r="7" spans="1:6" ht="76.5">
      <c r="A7" s="92">
        <f t="shared" si="0"/>
        <v>4</v>
      </c>
      <c r="B7" s="102" t="s">
        <v>112</v>
      </c>
      <c r="C7" s="101" t="s">
        <v>89</v>
      </c>
      <c r="D7" s="114" t="str">
        <f t="shared" ref="D7:D8" si="1">HYPERLINK("https://helpx.adobe.com/flash-player/release-note/fp_32_air_32_release_notes.html#released_versions")</f>
        <v>https://helpx.adobe.com/flash-player/release-note/fp_32_air_32_release_notes.html#released_versions</v>
      </c>
      <c r="E7" s="183" t="str">
        <f>HYPERLINK("https://get.adobe.com/jp/flashplayer/")</f>
        <v>https://get.adobe.com/jp/flashplayer/</v>
      </c>
      <c r="F7" s="187" t="str">
        <f>HYPERLINK("https://helpx.adobe.com/security.html#flashplayer")</f>
        <v>https://helpx.adobe.com/security.html#flashplayer</v>
      </c>
    </row>
    <row r="8" spans="1:6" ht="76.5">
      <c r="A8" s="92">
        <f t="shared" si="0"/>
        <v>5</v>
      </c>
      <c r="B8" s="102" t="s">
        <v>113</v>
      </c>
      <c r="C8" s="101" t="s">
        <v>89</v>
      </c>
      <c r="D8" s="114" t="str">
        <f t="shared" si="1"/>
        <v>https://helpx.adobe.com/flash-player/release-note/fp_32_air_32_release_notes.html#released_versions</v>
      </c>
      <c r="E8" s="183" t="str">
        <f t="shared" ref="E8:E9" si="2">HYPERLINK("https://get.adobe.com/jp/flashplayer/")</f>
        <v>https://get.adobe.com/jp/flashplayer/</v>
      </c>
      <c r="F8" s="187" t="str">
        <f t="shared" ref="F8:F9" si="3">HYPERLINK("https://helpx.adobe.com/security.html#flashplayer")</f>
        <v>https://helpx.adobe.com/security.html#flashplayer</v>
      </c>
    </row>
    <row r="9" spans="1:6" ht="63.75">
      <c r="A9" s="92">
        <f t="shared" si="0"/>
        <v>6</v>
      </c>
      <c r="B9" s="102" t="s">
        <v>107</v>
      </c>
      <c r="C9" s="101" t="s">
        <v>111</v>
      </c>
      <c r="D9" s="114" t="str">
        <f>HYPERLINK("https://helpx.adobe.com/flash-player/release-note/fp_32_air_32_release_notes.html#released_versions")</f>
        <v>https://helpx.adobe.com/flash-player/release-note/fp_32_air_32_release_notes.html#released_versions</v>
      </c>
      <c r="E9" s="183" t="str">
        <f t="shared" si="2"/>
        <v>https://get.adobe.com/jp/flashplayer/</v>
      </c>
      <c r="F9" s="187" t="str">
        <f t="shared" si="3"/>
        <v>https://helpx.adobe.com/security.html#flashplayer</v>
      </c>
    </row>
    <row r="10" spans="1:6" ht="38.25">
      <c r="A10" s="92">
        <f t="shared" si="0"/>
        <v>7</v>
      </c>
      <c r="B10" s="102" t="s">
        <v>109</v>
      </c>
      <c r="C10" s="101" t="s">
        <v>56</v>
      </c>
      <c r="D10" s="183" t="str">
        <f>HYPERLINK("http://www.rimarts.com/downloads/B2/Readme.txt")</f>
        <v>http://www.rimarts.com/downloads/B2/Readme.txt</v>
      </c>
      <c r="E10" s="183" t="str">
        <f>HYPERLINK("http://www.rimarts.co.jp/becky-j.htm")</f>
        <v>http://www.rimarts.co.jp/becky-j.htm</v>
      </c>
      <c r="F10" s="187" t="str">
        <f>HYPERLINK("http://www.rimarts.co.jp/index-j.html")</f>
        <v>http://www.rimarts.co.jp/index-j.html</v>
      </c>
    </row>
    <row r="11" spans="1:6" ht="76.5">
      <c r="A11" s="92">
        <f t="shared" si="0"/>
        <v>8</v>
      </c>
      <c r="B11" s="102" t="s">
        <v>10</v>
      </c>
      <c r="C11" s="101" t="s">
        <v>89</v>
      </c>
      <c r="D11" s="183" t="str">
        <f>HYPERLINK("https://chromiumdash.appspot.com/releases?platform=Windows")</f>
        <v>https://chromiumdash.appspot.com/releases?platform=Windows</v>
      </c>
      <c r="E11" s="183" t="str">
        <f>HYPERLINK("https://www.google.com/chrome/")</f>
        <v>https://www.google.com/chrome/</v>
      </c>
      <c r="F11" s="187" t="str">
        <f>HYPERLINK("https://chromereleases.googleblog.com/")</f>
        <v>https://chromereleases.googleblog.com/</v>
      </c>
    </row>
    <row r="12" spans="1:6" ht="25.5">
      <c r="A12" s="92">
        <f t="shared" si="0"/>
        <v>9</v>
      </c>
      <c r="B12" s="103" t="s">
        <v>268</v>
      </c>
      <c r="C12" s="115" t="s">
        <v>269</v>
      </c>
      <c r="D12" s="114" t="str">
        <f>HYPERLINK("https://www.ipa.go.jp/security/vuln/iLogScanner/")</f>
        <v>https://www.ipa.go.jp/security/vuln/iLogScanner/</v>
      </c>
      <c r="E12" s="114" t="str">
        <f>HYPERLINK("https://www.ipa.go.jp/security/vuln/iLogScanner/")</f>
        <v>https://www.ipa.go.jp/security/vuln/iLogScanner/</v>
      </c>
      <c r="F12" s="184" t="str">
        <f>HYPERLINK("https://www.ipa.go.jp/security/vuln/iLogScanner/")</f>
        <v>https://www.ipa.go.jp/security/vuln/iLogScanner/</v>
      </c>
    </row>
    <row r="13" spans="1:6" ht="76.5">
      <c r="A13" s="104">
        <f t="shared" si="0"/>
        <v>10</v>
      </c>
      <c r="B13" s="102" t="s">
        <v>8</v>
      </c>
      <c r="C13" s="101" t="s">
        <v>89</v>
      </c>
      <c r="D13" s="101" t="s">
        <v>86</v>
      </c>
      <c r="E13" s="183" t="str">
        <f>HYPERLINK("https://www.apple.com/jp/itunes/")</f>
        <v>https://www.apple.com/jp/itunes/</v>
      </c>
      <c r="F13" s="187" t="str">
        <f>HYPERLINK("https://support.apple.com/en-us/HT201222")</f>
        <v>https://support.apple.com/en-us/HT201222</v>
      </c>
    </row>
    <row r="14" spans="1:6" ht="76.5">
      <c r="A14" s="92">
        <f t="shared" si="0"/>
        <v>11</v>
      </c>
      <c r="B14" s="102" t="s">
        <v>263</v>
      </c>
      <c r="C14" s="101" t="s">
        <v>89</v>
      </c>
      <c r="D14" s="183" t="str">
        <f>HYPERLINK("https://www.oracle.com/java/technologies/javase/8u-relnotes.html")</f>
        <v>https://www.oracle.com/java/technologies/javase/8u-relnotes.html</v>
      </c>
      <c r="E14" s="183" t="str">
        <f>HYPERLINK("https://www.oracle.com/java/technologies/javase-jre8-downloads.html")</f>
        <v>https://www.oracle.com/java/technologies/javase-jre8-downloads.html</v>
      </c>
      <c r="F14" s="187" t="str">
        <f>HYPERLINK("https://www.oracle.com/security-alerts/")</f>
        <v>https://www.oracle.com/security-alerts/</v>
      </c>
    </row>
    <row r="15" spans="1:6" ht="25.5">
      <c r="A15" s="92">
        <f t="shared" si="0"/>
        <v>12</v>
      </c>
      <c r="B15" s="102" t="s">
        <v>5</v>
      </c>
      <c r="C15" s="101" t="s">
        <v>39</v>
      </c>
      <c r="D15" s="183" t="str">
        <f>HYPERLINK("http://www7a.biglobe.ne.jp/~schezo/")</f>
        <v>http://www7a.biglobe.ne.jp/~schezo/</v>
      </c>
      <c r="E15" s="183" t="str">
        <f>HYPERLINK("http://www7a.biglobe.ne.jp/~schezo/")</f>
        <v>http://www7a.biglobe.ne.jp/~schezo/</v>
      </c>
      <c r="F15" s="187" t="str">
        <f>HYPERLINK("http://www7a.biglobe.ne.jp/~schezo/")</f>
        <v>http://www7a.biglobe.ne.jp/~schezo/</v>
      </c>
    </row>
    <row r="16" spans="1:6" ht="76.5">
      <c r="A16" s="92">
        <f t="shared" si="0"/>
        <v>13</v>
      </c>
      <c r="B16" s="102" t="s">
        <v>17</v>
      </c>
      <c r="C16" s="101" t="s">
        <v>89</v>
      </c>
      <c r="D16" s="183" t="str">
        <f>HYPERLINK("https://www.libreoffice.org/download/download/")</f>
        <v>https://www.libreoffice.org/download/download/</v>
      </c>
      <c r="E16" s="183" t="str">
        <f>HYPERLINK("https://ja.libreoffice.org/download/libreoffice-fresh/")</f>
        <v>https://ja.libreoffice.org/download/libreoffice-fresh/</v>
      </c>
      <c r="F16" s="187" t="str">
        <f>HYPERLINK("https://www.libreoffice.org/about-us/security/advisories/")</f>
        <v>https://www.libreoffice.org/about-us/security/advisories/</v>
      </c>
    </row>
    <row r="17" spans="1:6" ht="51">
      <c r="A17" s="92">
        <f t="shared" si="0"/>
        <v>14</v>
      </c>
      <c r="B17" s="102" t="s">
        <v>9</v>
      </c>
      <c r="C17" s="101" t="s">
        <v>87</v>
      </c>
      <c r="D17" s="183" t="str">
        <f>HYPERLINK("https://lunascape.zendesk.com/hc/ja/categories/202515218-%E3%81%8A%E7%9F%A5%E3%82%89%E3%81%9B")</f>
        <v>https://lunascape.zendesk.com/hc/ja/categories/202515218-%E3%81%8A%E7%9F%A5%E3%82%89%E3%81%9B</v>
      </c>
      <c r="E17" s="183" t="str">
        <f>HYPERLINK("http://www.lunascape.jp/products/win/orion/default.aspx")</f>
        <v>http://www.lunascape.jp/products/win/orion/default.aspx</v>
      </c>
      <c r="F17" s="187" t="str">
        <f>HYPERLINK("https://lunascape.zendesk.com/hc/ja/categories/202515218-%E3%81%8A%E7%9F%A5%E3%82%89%E3%81%9B")</f>
        <v>https://lunascape.zendesk.com/hc/ja/categories/202515218-%E3%81%8A%E7%9F%A5%E3%82%89%E3%81%9B</v>
      </c>
    </row>
    <row r="18" spans="1:6" ht="76.5">
      <c r="A18" s="92">
        <f t="shared" si="0"/>
        <v>15</v>
      </c>
      <c r="B18" s="103" t="s">
        <v>167</v>
      </c>
      <c r="C18" s="115" t="s">
        <v>88</v>
      </c>
      <c r="D18" s="114" t="str">
        <f>HYPERLINK("https://docs.microsoft.com/en-us/DeployEdge/microsoft-edge-relnote-stable-channel")</f>
        <v>https://docs.microsoft.com/en-us/DeployEdge/microsoft-edge-relnote-stable-channel</v>
      </c>
      <c r="E18" s="183" t="str">
        <f>HYPERLINK("https://www.microsoft.com/ja-jp/edge")</f>
        <v>https://www.microsoft.com/ja-jp/edge</v>
      </c>
      <c r="F18" s="185" t="str">
        <f>HYPERLINK("https://docs.microsoft.com/en-us/DeployEdge/microsoft-edge-relnotes-security")</f>
        <v>https://docs.microsoft.com/en-us/DeployEdge/microsoft-edge-relnotes-security</v>
      </c>
    </row>
    <row r="19" spans="1:6" ht="38.25">
      <c r="A19" s="92">
        <f t="shared" si="0"/>
        <v>16</v>
      </c>
      <c r="B19" s="103" t="s">
        <v>168</v>
      </c>
      <c r="C19" s="101" t="s">
        <v>169</v>
      </c>
      <c r="D19" s="114" t="str">
        <f>HYPERLINK("https://docs.microsoft.com/en-us/officeupdates/update-history-microsoft365-apps-by-date")</f>
        <v>https://docs.microsoft.com/en-us/officeupdates/update-history-microsoft365-apps-by-date</v>
      </c>
      <c r="E19" s="101" t="s">
        <v>170</v>
      </c>
      <c r="F19" s="185" t="str">
        <f>HYPERLINK("https://docs.microsoft.com/en-us/officeupdates/microsoft365-apps-security-updates")</f>
        <v>https://docs.microsoft.com/en-us/officeupdates/microsoft365-apps-security-updates</v>
      </c>
    </row>
    <row r="20" spans="1:6" ht="76.5">
      <c r="A20" s="104">
        <f t="shared" si="0"/>
        <v>17</v>
      </c>
      <c r="B20" s="103" t="s">
        <v>264</v>
      </c>
      <c r="C20" s="115" t="s">
        <v>88</v>
      </c>
      <c r="D20" s="114" t="str">
        <f>HYPERLINK("https://jvndb.jvn.jp/apis/myjvn/mjcheck3.html")</f>
        <v>https://jvndb.jvn.jp/apis/myjvn/mjcheck3.html</v>
      </c>
      <c r="E20" s="183" t="str">
        <f>HYPERLINK("https://jvndb.jvn.jp/apis/myjvn/mjcheck3.html")</f>
        <v>https://jvndb.jvn.jp/apis/myjvn/mjcheck3.html</v>
      </c>
      <c r="F20" s="185" t="str">
        <f>HYPERLINK("https://jvndb.jvn.jp/apis/myjvn/mjcheck3.html")</f>
        <v>https://jvndb.jvn.jp/apis/myjvn/mjcheck3.html</v>
      </c>
    </row>
    <row r="21" spans="1:6" ht="76.5">
      <c r="A21" s="104">
        <f t="shared" si="0"/>
        <v>18</v>
      </c>
      <c r="B21" s="103" t="s">
        <v>265</v>
      </c>
      <c r="C21" s="115" t="s">
        <v>88</v>
      </c>
      <c r="D21" s="114" t="str">
        <f>HYPERLINK("https://jvndb.jvn.jp/apis/myjvn/mjdashboard.html")</f>
        <v>https://jvndb.jvn.jp/apis/myjvn/mjdashboard.html</v>
      </c>
      <c r="E21" s="114" t="str">
        <f>HYPERLINK("https://jvndb.jvn.jp/apis/myjvn/mjdashboard.html")</f>
        <v>https://jvndb.jvn.jp/apis/myjvn/mjdashboard.html</v>
      </c>
      <c r="F21" s="184" t="str">
        <f>HYPERLINK("https://jvndb.jvn.jp/apis/myjvn/mjdashboard.html")</f>
        <v>https://jvndb.jvn.jp/apis/myjvn/mjdashboard.html</v>
      </c>
    </row>
    <row r="22" spans="1:6" ht="76.5">
      <c r="A22" s="104">
        <f t="shared" si="0"/>
        <v>19</v>
      </c>
      <c r="B22" s="102" t="s">
        <v>6</v>
      </c>
      <c r="C22" s="101" t="s">
        <v>89</v>
      </c>
      <c r="D22" s="183" t="str">
        <f>HYPERLINK("https://www.mozilla.org/en-US/firefox/releases/")</f>
        <v>https://www.mozilla.org/en-US/firefox/releases/</v>
      </c>
      <c r="E22" s="183" t="str">
        <f>HYPERLINK("https://www.mozilla.org/ja/firefox/all/#ja")</f>
        <v>https://www.mozilla.org/ja/firefox/all/#ja</v>
      </c>
      <c r="F22" s="187" t="str">
        <f>HYPERLINK("https://www.mozilla.org/en-US/security/known-vulnerabilities/firefox/")</f>
        <v>https://www.mozilla.org/en-US/security/known-vulnerabilities/firefox/</v>
      </c>
    </row>
    <row r="23" spans="1:6" ht="76.5">
      <c r="A23" s="92">
        <f t="shared" si="0"/>
        <v>20</v>
      </c>
      <c r="B23" s="102" t="s">
        <v>34</v>
      </c>
      <c r="C23" s="101" t="s">
        <v>89</v>
      </c>
      <c r="D23" s="183" t="str">
        <f>HYPERLINK("https://www.mozilla.org/en-US/firefox/releases/")</f>
        <v>https://www.mozilla.org/en-US/firefox/releases/</v>
      </c>
      <c r="E23" s="183" t="str">
        <f>HYPERLINK("https://www.mozilla.org/ja/firefox/organizations/all/#ja")</f>
        <v>https://www.mozilla.org/ja/firefox/organizations/all/#ja</v>
      </c>
      <c r="F23" s="187" t="str">
        <f>HYPERLINK("https://www.mozilla.org/en-US/security/known-vulnerabilities/firefox-esr/")</f>
        <v>https://www.mozilla.org/en-US/security/known-vulnerabilities/firefox-esr/</v>
      </c>
    </row>
    <row r="24" spans="1:6" ht="76.5">
      <c r="A24" s="92">
        <f t="shared" si="0"/>
        <v>21</v>
      </c>
      <c r="B24" s="102" t="s">
        <v>7</v>
      </c>
      <c r="C24" s="101" t="s">
        <v>89</v>
      </c>
      <c r="D24" s="183" t="str">
        <f>HYPERLINK("https://www.mozilla.org/en-US/thunderbird/releases/")</f>
        <v>https://www.mozilla.org/en-US/thunderbird/releases/</v>
      </c>
      <c r="E24" s="183" t="str">
        <f>HYPERLINK("https://www.thunderbird.net/ja/")</f>
        <v>https://www.thunderbird.net/ja/</v>
      </c>
      <c r="F24" s="187" t="str">
        <f>HYPERLINK("https://www.mozilla.org/en-US/security/known-vulnerabilities/thunderbird/")</f>
        <v>https://www.mozilla.org/en-US/security/known-vulnerabilities/thunderbird/</v>
      </c>
    </row>
    <row r="25" spans="1:6" ht="38.25">
      <c r="A25" s="92">
        <f t="shared" si="0"/>
        <v>22</v>
      </c>
      <c r="B25" s="103" t="s">
        <v>266</v>
      </c>
      <c r="C25" s="115" t="s">
        <v>267</v>
      </c>
      <c r="D25" s="114" t="str">
        <f>HYPERLINK("https://jvndb.jvn.jp/apis/myjvn/vccheckdotnet.html")</f>
        <v>https://jvndb.jvn.jp/apis/myjvn/vccheckdotnet.html</v>
      </c>
      <c r="E25" s="183" t="str">
        <f>HYPERLINK("https://jvndb.jvn.jp/apis/myjvn/vccheckdotnet.html")</f>
        <v>https://jvndb.jvn.jp/apis/myjvn/vccheckdotnet.html</v>
      </c>
      <c r="F25" s="185" t="str">
        <f>HYPERLINK("https://jvndb.jvn.jp/apis/myjvn/vccheckdotnet.html")</f>
        <v>https://jvndb.jvn.jp/apis/myjvn/vccheckdotnet.html</v>
      </c>
    </row>
    <row r="26" spans="1:6" ht="76.5">
      <c r="A26" s="104">
        <f t="shared" si="0"/>
        <v>23</v>
      </c>
      <c r="B26" s="102" t="s">
        <v>114</v>
      </c>
      <c r="C26" s="101" t="s">
        <v>89</v>
      </c>
      <c r="D26" s="183" t="str">
        <f>HYPERLINK("https://www.openoffice.org/download/")</f>
        <v>https://www.openoffice.org/download/</v>
      </c>
      <c r="E26" s="183" t="str">
        <f>HYPERLINK("https://www.openoffice.org/download/")</f>
        <v>https://www.openoffice.org/download/</v>
      </c>
      <c r="F26" s="187" t="str">
        <f>HYPERLINK("https://www.openoffice.org/security/bulletin.html")</f>
        <v>https://www.openoffice.org/security/bulletin.html</v>
      </c>
    </row>
    <row r="27" spans="1:6" ht="76.5">
      <c r="A27" s="92">
        <f t="shared" si="0"/>
        <v>24</v>
      </c>
      <c r="B27" s="101" t="s">
        <v>58</v>
      </c>
      <c r="C27" s="101" t="s">
        <v>89</v>
      </c>
      <c r="D27" s="189" t="str">
        <f>HYPERLINK("https://osdn.net/projects/ttssh2/releases/")</f>
        <v>https://osdn.net/projects/ttssh2/releases/</v>
      </c>
      <c r="E27" s="190" t="str">
        <f>HYPERLINK("https://osdn.net/projects/ttssh2/releases/")</f>
        <v>https://osdn.net/projects/ttssh2/releases/</v>
      </c>
      <c r="F27" s="191" t="str">
        <f>HYPERLINK("https://osdn.net/projects/ttssh2/releases/p7801")</f>
        <v>https://osdn.net/projects/ttssh2/releases/p7801</v>
      </c>
    </row>
    <row r="28" spans="1:6" ht="76.5">
      <c r="A28" s="92">
        <f t="shared" si="0"/>
        <v>25</v>
      </c>
      <c r="B28" s="102" t="s">
        <v>115</v>
      </c>
      <c r="C28" s="101" t="s">
        <v>89</v>
      </c>
      <c r="D28" s="183" t="str">
        <f>HYPERLINK("https://docs.vmware.com/jp/VMware-Workstation-Player/index.html")</f>
        <v>https://docs.vmware.com/jp/VMware-Workstation-Player/index.html</v>
      </c>
      <c r="E28" s="183" t="str">
        <f>HYPERLINK("https://www.vmware.com/jp/products/workstation-player/workstation-player-evaluation.html")</f>
        <v>https://www.vmware.com/jp/products/workstation-player/workstation-player-evaluation.html</v>
      </c>
      <c r="F28" s="187" t="str">
        <f>HYPERLINK("https://www.vmware.com/security/advisories.html")</f>
        <v>https://www.vmware.com/security/advisories.html</v>
      </c>
    </row>
    <row r="29" spans="1:6" ht="63.75">
      <c r="A29" s="92">
        <f t="shared" si="0"/>
        <v>26</v>
      </c>
      <c r="B29" s="116" t="s">
        <v>343</v>
      </c>
      <c r="C29" s="182" t="s">
        <v>38</v>
      </c>
      <c r="D29" s="188" t="str">
        <f>HYPERLINK("https://support.microsoft.com/en-us/help/4555932")</f>
        <v>https://support.microsoft.com/en-us/help/4555932</v>
      </c>
      <c r="E29" s="116" t="s">
        <v>93</v>
      </c>
      <c r="F29" s="192" t="str">
        <f>HYPERLINK("https://portal.msrc.microsoft.com/en-us/security-guidance")</f>
        <v>https://portal.msrc.microsoft.com/en-us/security-guidance</v>
      </c>
    </row>
    <row r="30" spans="1:6" ht="51">
      <c r="A30" s="180">
        <f t="shared" si="0"/>
        <v>27</v>
      </c>
      <c r="B30" s="116" t="s">
        <v>37</v>
      </c>
      <c r="C30" s="182" t="s">
        <v>38</v>
      </c>
      <c r="D30" s="188" t="str">
        <f>HYPERLINK("https://support.microsoft.com/en-us/help/4009470/windows-8-1-windows-server-2012-r2-update-history")</f>
        <v>https://support.microsoft.com/en-us/help/4009470/windows-8-1-windows-server-2012-r2-update-history</v>
      </c>
      <c r="E30" s="181" t="s">
        <v>339</v>
      </c>
      <c r="F30" s="192" t="str">
        <f t="shared" ref="F30" si="4">HYPERLINK("https://portal.msrc.microsoft.com/en-us/security-guidance")</f>
        <v>https://portal.msrc.microsoft.com/en-us/security-guidance</v>
      </c>
    </row>
    <row r="31" spans="1:6" ht="63.75">
      <c r="A31" s="180">
        <f t="shared" si="0"/>
        <v>28</v>
      </c>
      <c r="B31" s="116" t="s">
        <v>85</v>
      </c>
      <c r="C31" s="182" t="s">
        <v>38</v>
      </c>
      <c r="D31" s="188" t="str">
        <f>HYPERLINK("https://docs.microsoft.com/en-us/windows-server/get-started/windows-server-release-info")</f>
        <v>https://docs.microsoft.com/en-us/windows-server/get-started/windows-server-release-info</v>
      </c>
      <c r="E31" s="116" t="s">
        <v>340</v>
      </c>
      <c r="F31" s="192" t="str">
        <f>HYPERLINK("https://portal.msrc.microsoft.com/en-us/security-guidance")</f>
        <v>https://portal.msrc.microsoft.com/en-us/security-guidance</v>
      </c>
    </row>
    <row r="32" spans="1:6" ht="76.5">
      <c r="A32" s="180">
        <f t="shared" si="0"/>
        <v>29</v>
      </c>
      <c r="B32" s="181" t="s">
        <v>57</v>
      </c>
      <c r="C32" s="116" t="s">
        <v>89</v>
      </c>
      <c r="D32" s="188" t="str">
        <f>HYPERLINK("https://winscp.net/eng/news.php")</f>
        <v>https://winscp.net/eng/news.php</v>
      </c>
      <c r="E32" s="188" t="str">
        <f>HYPERLINK("https://winscp.net/eng/download.php")</f>
        <v>https://winscp.net/eng/download.php</v>
      </c>
      <c r="F32" s="188" t="str">
        <f>HYPERLINK("https://winscp.net/eng/docs/history")</f>
        <v>https://winscp.net/eng/docs/history</v>
      </c>
    </row>
    <row r="33" spans="1:6" ht="76.5">
      <c r="A33" s="180">
        <f t="shared" si="0"/>
        <v>30</v>
      </c>
      <c r="B33" s="181" t="s">
        <v>240</v>
      </c>
      <c r="C33" s="116" t="s">
        <v>89</v>
      </c>
      <c r="D33" s="188" t="str">
        <f>HYPERLINK("https://www.wireshark.org/download.html")</f>
        <v>https://www.wireshark.org/download.html</v>
      </c>
      <c r="E33" s="188" t="str">
        <f>HYPERLINK("https://www.wireshark.org/download.html")</f>
        <v>https://www.wireshark.org/download.html</v>
      </c>
      <c r="F33" s="193" t="str">
        <f>HYPERLINK("https://www.wireshark.org/security/")</f>
        <v>https://www.wireshark.org/security/</v>
      </c>
    </row>
  </sheetData>
  <phoneticPr fontId="1"/>
  <hyperlinks>
    <hyperlink ref="E7" r:id="rId1" display="https://get.adobe.com/jp/flashplayer/" xr:uid="{9462F9D6-5187-4499-87AC-8F59A1FE65E6}"/>
    <hyperlink ref="F7" r:id="rId2" location="flashplayer" display="https://helpx.adobe.com/security.html#flashplayer" xr:uid="{D2FBA451-16EB-4E64-8541-33677EB165EB}"/>
    <hyperlink ref="F5" r:id="rId3" location="acrobat" display="https://helpx.adobe.com/security.html#acrobat" xr:uid="{D14673BB-5544-49FF-8F70-07C9DEF0A3C3}"/>
    <hyperlink ref="F4" r:id="rId4" location="acrobat" display="https://helpx.adobe.com/security.html#acrobat" xr:uid="{13D2A113-0BF7-4A86-869A-BFDB4253378C}"/>
    <hyperlink ref="D4" r:id="rId5" location="classic-track" display="https://www.adobe.com/devnet-docs/acrobatetk/tools/ReleaseNotesDC/index.html#classic-track" xr:uid="{B9541C6E-8FC3-4A7D-8ED6-C9AF41846B2B}"/>
    <hyperlink ref="D5" r:id="rId6" display="https://www.adobe.com/devnet-docs/acrobatetk/tools/ReleaseNotesDC/index.html" xr:uid="{444855FA-0EA3-4438-B73D-22D724FBDD9D}"/>
    <hyperlink ref="D6" r:id="rId7" location="released_versions" display="https://helpx.adobe.com/flash-player/release-note/fp_32_air_32_release_notes.html#released_versions" xr:uid="{434D7E9A-F15D-484A-98B7-0F439A1299C8}"/>
    <hyperlink ref="D10" r:id="rId8" display="http://www.rimarts.com/downloads/B2/Readme.txt" xr:uid="{3CBA6D40-6586-4BEA-963D-3C0F8FDA239C}"/>
    <hyperlink ref="D11" r:id="rId9" display="https://chromiumdash.appspot.com/releases?platform=Windows" xr:uid="{1A29C325-2074-44BF-B821-53617645C660}"/>
    <hyperlink ref="D12" r:id="rId10" display="https://www.ipa.go.jp/security/vuln/iLogScanner/" xr:uid="{744BA5F0-B413-47FF-BE14-FFB882DD067A}"/>
    <hyperlink ref="D14" r:id="rId11" display="https://www.oracle.com/java/technologies/javase/8u-relnotes.html" xr:uid="{D7173B3F-DEC8-4F83-ADA6-94ED48AF1223}"/>
    <hyperlink ref="D15" r:id="rId12" display="http://www7a.biglobe.ne.jp/~schezo/" xr:uid="{BD73A7D7-193E-4216-8F5E-485363E96CC7}"/>
    <hyperlink ref="D16" r:id="rId13" display="https://www.libreoffice.org/download/download/" xr:uid="{800CBED5-7F52-449B-9490-BA30646AE356}"/>
    <hyperlink ref="D18" r:id="rId14" display="https://docs.microsoft.com/en-us/DeployEdge/microsoft-edge-relnote-stable-channel" xr:uid="{432FEADF-1D44-4D17-9335-72C71E263522}"/>
    <hyperlink ref="D19" r:id="rId15" display="https://docs.microsoft.com/en-us/officeupdates/update-history-microsoft365-apps-by-date" xr:uid="{4180F7A9-DDCD-4FD2-9CDB-1CCA1BEBFEBC}"/>
    <hyperlink ref="D20" r:id="rId16" display="https://jvndb.jvn.jp/apis/myjvn/mjcheck3.html" xr:uid="{66099AEB-B43C-4703-A173-48031C7F3D2D}"/>
    <hyperlink ref="D21" r:id="rId17" display="https://jvndb.jvn.jp/apis/myjvn/mjdashboard.html" xr:uid="{1B7A56E5-D624-442F-ABA9-0F3242FACEE8}"/>
    <hyperlink ref="D22" r:id="rId18" display="https://www.mozilla.org/en-US/firefox/releases/" xr:uid="{A91C8FF7-E03E-42CB-9FC8-593807BE2094}"/>
    <hyperlink ref="D23" r:id="rId19" display="https://www.mozilla.org/en-US/firefox/releases/" xr:uid="{4A676C02-F24F-45D3-BF3C-A6DAD019CA1C}"/>
    <hyperlink ref="D24" r:id="rId20" display="https://www.mozilla.org/en-US/thunderbird/releases/" xr:uid="{7961EF59-1A12-405E-8ACC-3050D2A972AE}"/>
    <hyperlink ref="D26" r:id="rId21" display="https://www.openoffice.org/download/" xr:uid="{EB3C4574-1089-4BDF-AD10-09B75F156B5B}"/>
    <hyperlink ref="E6" r:id="rId22" display="https://get.adobe.com/jp/air/" xr:uid="{687A5400-B838-4EC5-9229-12B53C30677D}"/>
    <hyperlink ref="F6" r:id="rId23" location="air" display="https://helpx.adobe.com/security.html#air" xr:uid="{453FE2A6-BFC1-4708-8C4F-B18015452975}"/>
    <hyperlink ref="D33" r:id="rId24" display="https://www.wireshark.org/download.html" xr:uid="{641A4D80-0F00-44DB-A17B-6CB822C33E33}"/>
    <hyperlink ref="E33" r:id="rId25" display="https://www.wireshark.org/download.html" xr:uid="{E197DF0E-1116-4397-81EC-065F9F40F032}"/>
    <hyperlink ref="F33" r:id="rId26" display="https://www.wireshark.org/security/" xr:uid="{D3955B18-7B54-46B7-B6AB-A6F07486FA40}"/>
    <hyperlink ref="E10" r:id="rId27" display="http://www.rimarts.co.jp/becky-j.htm" xr:uid="{D1630122-AE59-4F38-BFAA-906D688137B8}"/>
    <hyperlink ref="F10" r:id="rId28" display="http://www.rimarts.co.jp/index-j.html" xr:uid="{453D9515-ED1B-488D-8CBB-25791028A9C4}"/>
    <hyperlink ref="E11" r:id="rId29" display="https://www.google.com/chrome/" xr:uid="{4D066539-ED05-4D81-9A42-6705585E0DAF}"/>
    <hyperlink ref="F11" r:id="rId30" display="https://chromereleases.googleblog.com/" xr:uid="{72BFC106-BC3A-4DFC-BD10-9FF8B47B1D60}"/>
    <hyperlink ref="E13" r:id="rId31" display="https://www.apple.com/jp/itunes/" xr:uid="{014B7A2D-42B7-47B7-B925-6F9ADB5A6004}"/>
    <hyperlink ref="F13" r:id="rId32" display="https://support.apple.com/en-us/HT201222" xr:uid="{D625BB33-ED6C-412C-81FB-90FD289586A3}"/>
    <hyperlink ref="E12" r:id="rId33" display="https://www.ipa.go.jp/security/vuln/iLogScanner/" xr:uid="{F276C1D1-DD80-4395-8CCA-FB9BDC7BF286}"/>
    <hyperlink ref="F12" r:id="rId34" display="https://www.ipa.go.jp/security/vuln/iLogScanner/" xr:uid="{B4990089-1BA9-4136-BE7A-57B9035B4072}"/>
    <hyperlink ref="E14" r:id="rId35" display="https://www.oracle.com/java/technologies/javase-jre8-downloads.html" xr:uid="{70C49597-4F3A-4A31-8CE6-5A1A366F6DB5}"/>
    <hyperlink ref="F14" r:id="rId36" display="https://www.oracle.com/security-alerts/" xr:uid="{6ACD451E-5A24-4532-860B-3D9F3F613AEA}"/>
    <hyperlink ref="F15" r:id="rId37" display="http://www7a.biglobe.ne.jp/~schezo/" xr:uid="{07096E41-89F5-4367-AFCB-2D82D195EF07}"/>
    <hyperlink ref="E16" r:id="rId38" display="https://ja.libreoffice.org/download/libreoffice-fresh/" xr:uid="{2EDB9A65-F910-45A6-903E-BB877F8F7D4B}"/>
    <hyperlink ref="F16" r:id="rId39" display="https://www.libreoffice.org/about-us/security/advisories/" xr:uid="{97D8740B-4B65-43DC-B989-98770EFA7772}"/>
    <hyperlink ref="E17" r:id="rId40" display="http://www.lunascape.jp/products/win/orion/default.aspx" xr:uid="{A2230FFD-A931-4760-A556-3ECC199C1EB9}"/>
    <hyperlink ref="F17" r:id="rId41" display="https://lunascape.zendesk.com/hc/ja/categories/202515218-%E3%81%8A%E7%9F%A5%E3%82%89%E3%81%9B" xr:uid="{E487F5EC-D022-40EB-BF19-64D0C6D5AFAB}"/>
    <hyperlink ref="E18" r:id="rId42" display="https://www.microsoft.com/ja-jp/edge" xr:uid="{03D4EE51-7BF9-444D-8E0D-B010F18D5582}"/>
    <hyperlink ref="F18" r:id="rId43" display="https://docs.microsoft.com/en-us/DeployEdge/microsoft-edge-relnotes-security" xr:uid="{C07F84F9-9240-4FD9-A89D-F7D91766081F}"/>
    <hyperlink ref="F19" r:id="rId44" display="https://docs.microsoft.com/en-us/officeupdates/microsoft365-apps-security-updates" xr:uid="{979D0C67-44CF-4D7A-A333-E7DE37A5C40A}"/>
    <hyperlink ref="E20" r:id="rId45" display="https://jvndb.jvn.jp/apis/myjvn/mjcheck3.html" xr:uid="{6846346C-AD53-4344-ADDF-5518C0C83E7B}"/>
    <hyperlink ref="F20" r:id="rId46" display="https://jvndb.jvn.jp/apis/myjvn/mjcheck3.html" xr:uid="{E44DA716-3CBB-44CB-A0C9-4271E1674780}"/>
    <hyperlink ref="E21" r:id="rId47" display="https://jvndb.jvn.jp/apis/myjvn/mjdashboard.html" xr:uid="{B87AC58B-0511-453A-A272-F5C03A69E879}"/>
    <hyperlink ref="F21" r:id="rId48" display="https://jvndb.jvn.jp/apis/myjvn/mjdashboard.html" xr:uid="{6E45BDFC-484F-44BA-8C28-0BA4FA8D59F0}"/>
    <hyperlink ref="E22" r:id="rId49" location="ja" display="https://www.mozilla.org/ja/firefox/all/#ja" xr:uid="{C0062ACE-9306-40E3-87AF-D05E288EB898}"/>
    <hyperlink ref="E23" r:id="rId50" location="ja" display="https://www.mozilla.org/ja/firefox/organizations/all/#ja" xr:uid="{2918679E-470D-4849-B36E-7C543E66E5FB}"/>
    <hyperlink ref="F23" r:id="rId51" display="https://www.mozilla.org/en-US/security/known-vulnerabilities/firefox-esr/" xr:uid="{513F3036-9AF5-44B1-B266-F9F5EFC1AF02}"/>
    <hyperlink ref="F24" r:id="rId52" display="https://www.mozilla.org/en-US/security/known-vulnerabilities/thunderbird/" xr:uid="{9ED26F2C-85F8-423C-9D4D-5FD472269D57}"/>
    <hyperlink ref="D25" r:id="rId53" display="https://jvndb.jvn.jp/apis/myjvn/vccheckdotnet.html" xr:uid="{483DA4A3-F3CD-4973-942E-5DE5F3529689}"/>
    <hyperlink ref="E25" r:id="rId54" display="https://jvndb.jvn.jp/apis/myjvn/vccheckdotnet.html" xr:uid="{EA0CD434-019F-4DEA-8ADA-5F4545679720}"/>
    <hyperlink ref="F25" r:id="rId55" display="https://jvndb.jvn.jp/apis/myjvn/vccheckdotnet.html" xr:uid="{84ACA888-EBA8-403C-A3D6-B43BA2D2BA5A}"/>
    <hyperlink ref="E26" r:id="rId56" display="https://www.openoffice.org/download/" xr:uid="{45187ADB-D157-44DA-9ED2-2CB581EC1D2E}"/>
    <hyperlink ref="F26" r:id="rId57" display="https://www.openoffice.org/security/bulletin.html" xr:uid="{570BCBF7-3ED7-4FD8-9344-283C2E1352CA}"/>
    <hyperlink ref="D27" r:id="rId58" display="https://osdn.net/projects/ttssh2/releases/" xr:uid="{1C353CB5-C0DA-4F96-B356-D68C7F154575}"/>
    <hyperlink ref="E27" r:id="rId59" display="https://osdn.net/projects/ttssh2/releases/" xr:uid="{C38B97FB-0A77-4F0B-AC4E-23CD07A7014D}"/>
    <hyperlink ref="F27" r:id="rId60" display="https://osdn.net/projects/ttssh2/releases/p7801" xr:uid="{B4571A5B-749B-44E1-8E85-5806EC7131BE}"/>
    <hyperlink ref="D28" r:id="rId61" display="https://docs.vmware.com/jp/VMware-Workstation-Player/index.html" xr:uid="{883EC069-9F92-42D9-BF28-20A02C4C5E33}"/>
    <hyperlink ref="F28" r:id="rId62" display="https://www.vmware.com/security/advisories.html" xr:uid="{CEA09AAF-8127-401F-A644-52A8F9CBABC6}"/>
    <hyperlink ref="D29" r:id="rId63" display="https://support.microsoft.com/en-us/help/4555932" xr:uid="{C101F9B7-27DA-4D7D-8E5D-705857176F05}"/>
    <hyperlink ref="F29" r:id="rId64" display="https://portal.msrc.microsoft.com/en-us/security-guidance" xr:uid="{2B949E96-D946-47B8-8A37-02CF05C4923F}"/>
    <hyperlink ref="D31" r:id="rId65" display="https://docs.microsoft.com/en-us/windows-server/get-started/windows-server-release-info" xr:uid="{13222218-2CC5-4A3D-A434-F4C12C91F965}"/>
    <hyperlink ref="D32" r:id="rId66" display="https://winscp.net/eng/news.php" xr:uid="{5EF348D3-EE4C-46F1-A3EE-44589DE8A56B}"/>
    <hyperlink ref="E32" r:id="rId67" display="https://winscp.net/eng/download.php" xr:uid="{0536732F-3C35-4E66-A0B4-1C02D5AF2D32}"/>
    <hyperlink ref="F32" r:id="rId68" display="https://winscp.net/eng/docs/history" xr:uid="{9CD15CDF-668D-448A-81E7-0BB93823AC8E}"/>
    <hyperlink ref="D30" r:id="rId69" display="https://support.microsoft.com/en-us/help/4009470/windows-8-1-windows-server-2012-r2-update-history" xr:uid="{B1215A59-1B81-4197-BE2E-05719D0D89A7}"/>
    <hyperlink ref="D7:D9" r:id="rId70" location="released_versions" display="https://helpx.adobe.com/flash-player/release-note/fp_32_air_32_release_notes.html#released_versions" xr:uid="{67675BD0-4C42-476C-966C-4D4C96F8A48C}"/>
    <hyperlink ref="D17" r:id="rId71" display="https://lunascape.zendesk.com/hc/ja/categories/202515218-%E3%81%8A%E7%9F%A5%E3%82%89%E3%81%9B" xr:uid="{0DCA9E37-942F-4D2E-A143-742FFFCEC6DE}"/>
    <hyperlink ref="E8:E9" r:id="rId72" display="https://get.adobe.com/jp/flashplayer/" xr:uid="{10B7607C-4E57-4AEC-B9BA-802D3F719227}"/>
    <hyperlink ref="F8:F9" r:id="rId73" location="flashplayer" display="https://helpx.adobe.com/security.html#flashplayer" xr:uid="{A1F90755-612C-4573-9786-1A8D713207C0}"/>
    <hyperlink ref="F30:F31" r:id="rId74" display="https://portal.msrc.microsoft.com/en-us/security-guidance" xr:uid="{185026CA-4F14-4FF5-A436-A613ACE70A9F}"/>
    <hyperlink ref="E15" r:id="rId75" display="http://www7a.biglobe.ne.jp/~schezo/" xr:uid="{FCEF5F7C-6949-481D-A832-F14F6096EA9C}"/>
  </hyperlinks>
  <printOptions horizontalCentered="1"/>
  <pageMargins left="0.70866141732283472" right="0.70866141732283472" top="0.74803149606299213" bottom="0.74803149606299213" header="0.31496062992125984" footer="0.31496062992125984"/>
  <pageSetup paperSize="9" scale="44" fitToHeight="0" orientation="portrait" r:id="rId76"/>
  <rowBreaks count="1" manualBreakCount="1">
    <brk id="28" max="5" man="1"/>
  </rowBreaks>
  <ignoredErrors>
    <ignoredError sqref="E17" formula="1"/>
  </ignoredErrors>
  <drawing r:id="rId77"/>
  <tableParts count="1">
    <tablePart r:id="rId7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F46E7-66A8-4ADD-B14B-3D755F5D6418}">
  <sheetPr>
    <tabColor theme="8" tint="0.59999389629810485"/>
    <pageSetUpPr fitToPage="1"/>
  </sheetPr>
  <dimension ref="A1:D86"/>
  <sheetViews>
    <sheetView showGridLines="0" showRuler="0" showWhiteSpace="0" zoomScaleNormal="100" zoomScalePageLayoutView="40" workbookViewId="0">
      <selection activeCell="A2" sqref="A2"/>
    </sheetView>
  </sheetViews>
  <sheetFormatPr defaultColWidth="10.625" defaultRowHeight="18.75"/>
  <cols>
    <col min="1" max="1" width="4.875" style="22" customWidth="1"/>
    <col min="2" max="2" width="34.125" style="24" customWidth="1"/>
    <col min="3" max="3" width="69.5" style="24" customWidth="1"/>
    <col min="4" max="4" width="15.625" style="24" customWidth="1"/>
    <col min="6" max="6" width="10.625" customWidth="1"/>
  </cols>
  <sheetData>
    <row r="1" spans="1:4" ht="19.5">
      <c r="A1" s="15" t="s">
        <v>32</v>
      </c>
      <c r="B1" s="16"/>
      <c r="C1" s="16"/>
      <c r="D1" s="16"/>
    </row>
    <row r="2" spans="1:4">
      <c r="A2" s="3"/>
      <c r="B2" s="3"/>
      <c r="C2" s="3"/>
      <c r="D2" s="3"/>
    </row>
    <row r="3" spans="1:4">
      <c r="A3" s="20" t="s">
        <v>3</v>
      </c>
      <c r="B3" s="59" t="s">
        <v>11</v>
      </c>
      <c r="C3" s="60" t="s">
        <v>1</v>
      </c>
      <c r="D3" s="60" t="s">
        <v>35</v>
      </c>
    </row>
    <row r="4" spans="1:4">
      <c r="A4" s="55">
        <v>1</v>
      </c>
      <c r="B4" s="54" t="s">
        <v>14</v>
      </c>
      <c r="C4" s="195" t="s">
        <v>4</v>
      </c>
      <c r="D4" s="55" t="s">
        <v>36</v>
      </c>
    </row>
    <row r="5" spans="1:4">
      <c r="A5" s="55">
        <v>2</v>
      </c>
      <c r="B5" s="56" t="s">
        <v>50</v>
      </c>
      <c r="C5" s="195" t="s">
        <v>94</v>
      </c>
      <c r="D5" s="55" t="s">
        <v>36</v>
      </c>
    </row>
    <row r="6" spans="1:4">
      <c r="A6" s="55">
        <v>3</v>
      </c>
      <c r="B6" s="56" t="s">
        <v>262</v>
      </c>
      <c r="C6" s="195" t="s">
        <v>277</v>
      </c>
      <c r="D6" s="55" t="s">
        <v>36</v>
      </c>
    </row>
    <row r="7" spans="1:4">
      <c r="A7" s="55">
        <v>4</v>
      </c>
      <c r="B7" s="54" t="s">
        <v>59</v>
      </c>
      <c r="C7" s="195" t="s">
        <v>95</v>
      </c>
      <c r="D7" s="55" t="s">
        <v>36</v>
      </c>
    </row>
    <row r="8" spans="1:4">
      <c r="A8" s="55">
        <v>5</v>
      </c>
      <c r="B8" s="54" t="s">
        <v>51</v>
      </c>
      <c r="C8" s="195" t="s">
        <v>96</v>
      </c>
      <c r="D8" s="55" t="s">
        <v>36</v>
      </c>
    </row>
    <row r="9" spans="1:4">
      <c r="A9" s="55">
        <v>6</v>
      </c>
      <c r="B9" s="54" t="s">
        <v>61</v>
      </c>
      <c r="C9" s="195" t="s">
        <v>234</v>
      </c>
      <c r="D9" s="55" t="s">
        <v>36</v>
      </c>
    </row>
    <row r="10" spans="1:4">
      <c r="A10" s="55">
        <v>7</v>
      </c>
      <c r="B10" s="54" t="s">
        <v>52</v>
      </c>
      <c r="C10" s="195" t="s">
        <v>233</v>
      </c>
      <c r="D10" s="55" t="s">
        <v>36</v>
      </c>
    </row>
    <row r="11" spans="1:4">
      <c r="A11" s="55">
        <v>8</v>
      </c>
      <c r="B11" s="56" t="s">
        <v>62</v>
      </c>
      <c r="C11" s="195" t="s">
        <v>235</v>
      </c>
      <c r="D11" s="55" t="s">
        <v>36</v>
      </c>
    </row>
    <row r="12" spans="1:4">
      <c r="A12" s="55">
        <v>9</v>
      </c>
      <c r="B12" s="56" t="s">
        <v>60</v>
      </c>
      <c r="C12" s="195" t="s">
        <v>97</v>
      </c>
      <c r="D12" s="55" t="s">
        <v>36</v>
      </c>
    </row>
    <row r="13" spans="1:4">
      <c r="A13" s="55">
        <v>10</v>
      </c>
      <c r="B13" s="56" t="s">
        <v>53</v>
      </c>
      <c r="C13" s="195" t="s">
        <v>98</v>
      </c>
      <c r="D13" s="55" t="s">
        <v>36</v>
      </c>
    </row>
    <row r="14" spans="1:4">
      <c r="A14" s="55">
        <v>11</v>
      </c>
      <c r="B14" s="56" t="s">
        <v>84</v>
      </c>
      <c r="C14" s="195" t="s">
        <v>83</v>
      </c>
      <c r="D14" s="55" t="s">
        <v>30</v>
      </c>
    </row>
    <row r="15" spans="1:4">
      <c r="A15" s="55">
        <v>12</v>
      </c>
      <c r="B15" s="56"/>
      <c r="C15" s="195"/>
      <c r="D15" s="55"/>
    </row>
    <row r="16" spans="1:4">
      <c r="A16" s="55">
        <v>13</v>
      </c>
      <c r="B16" s="56"/>
      <c r="C16" s="195"/>
      <c r="D16" s="55"/>
    </row>
    <row r="17" spans="1:4">
      <c r="A17" s="55">
        <v>14</v>
      </c>
      <c r="B17" s="56"/>
      <c r="C17" s="195"/>
      <c r="D17" s="55"/>
    </row>
    <row r="18" spans="1:4">
      <c r="A18" s="55">
        <v>15</v>
      </c>
      <c r="B18" s="56"/>
      <c r="C18" s="195"/>
      <c r="D18" s="55"/>
    </row>
    <row r="20" spans="1:4">
      <c r="A20" s="23" t="s">
        <v>3</v>
      </c>
      <c r="B20" s="58" t="s">
        <v>27</v>
      </c>
      <c r="C20" s="58" t="s">
        <v>341</v>
      </c>
      <c r="D20" s="58" t="s">
        <v>35</v>
      </c>
    </row>
    <row r="21" spans="1:4">
      <c r="A21" s="55">
        <v>1</v>
      </c>
      <c r="B21" s="54" t="s">
        <v>25</v>
      </c>
      <c r="C21" s="196" t="s">
        <v>33</v>
      </c>
      <c r="D21" s="55" t="s">
        <v>36</v>
      </c>
    </row>
    <row r="22" spans="1:4">
      <c r="A22" s="55">
        <v>2</v>
      </c>
      <c r="B22" s="56" t="s">
        <v>24</v>
      </c>
      <c r="C22" s="197" t="s">
        <v>117</v>
      </c>
      <c r="D22" s="55" t="s">
        <v>36</v>
      </c>
    </row>
    <row r="23" spans="1:4">
      <c r="A23" s="55">
        <v>3</v>
      </c>
      <c r="B23" s="54" t="s">
        <v>13</v>
      </c>
      <c r="C23" s="197" t="s">
        <v>99</v>
      </c>
      <c r="D23" s="55" t="s">
        <v>36</v>
      </c>
    </row>
    <row r="24" spans="1:4">
      <c r="A24" s="55">
        <v>4</v>
      </c>
      <c r="B24" s="90" t="s">
        <v>12</v>
      </c>
      <c r="C24" s="198" t="s">
        <v>23</v>
      </c>
      <c r="D24" s="55" t="s">
        <v>30</v>
      </c>
    </row>
    <row r="25" spans="1:4">
      <c r="A25" s="55">
        <v>5</v>
      </c>
      <c r="B25" s="90" t="s">
        <v>118</v>
      </c>
      <c r="C25" s="198" t="s">
        <v>119</v>
      </c>
      <c r="D25" s="55" t="s">
        <v>30</v>
      </c>
    </row>
    <row r="26" spans="1:4">
      <c r="A26" s="55">
        <v>6</v>
      </c>
      <c r="B26" s="56" t="s">
        <v>21</v>
      </c>
      <c r="C26" s="197" t="s">
        <v>100</v>
      </c>
      <c r="D26" s="55" t="s">
        <v>30</v>
      </c>
    </row>
    <row r="27" spans="1:4">
      <c r="A27" s="55">
        <v>7</v>
      </c>
      <c r="B27" s="56" t="s">
        <v>22</v>
      </c>
      <c r="C27" s="197" t="s">
        <v>101</v>
      </c>
      <c r="D27" s="55" t="s">
        <v>30</v>
      </c>
    </row>
    <row r="28" spans="1:4">
      <c r="A28" s="55">
        <v>8</v>
      </c>
      <c r="B28" s="56"/>
      <c r="C28" s="197"/>
      <c r="D28" s="55"/>
    </row>
    <row r="29" spans="1:4">
      <c r="A29" s="55">
        <v>9</v>
      </c>
      <c r="B29" s="56"/>
      <c r="C29" s="199"/>
      <c r="D29" s="57"/>
    </row>
    <row r="30" spans="1:4">
      <c r="A30" s="55">
        <v>10</v>
      </c>
      <c r="B30" s="177"/>
      <c r="C30" s="200"/>
      <c r="D30" s="57"/>
    </row>
    <row r="31" spans="1:4">
      <c r="A31" s="55">
        <v>11</v>
      </c>
      <c r="B31" s="56"/>
      <c r="C31" s="199"/>
      <c r="D31" s="57"/>
    </row>
    <row r="32" spans="1:4">
      <c r="A32" s="55">
        <v>12</v>
      </c>
      <c r="B32" s="177"/>
      <c r="C32" s="200"/>
      <c r="D32" s="57"/>
    </row>
    <row r="33" spans="1:4">
      <c r="A33" s="55">
        <v>13</v>
      </c>
      <c r="B33" s="56"/>
      <c r="C33" s="199"/>
      <c r="D33" s="57"/>
    </row>
    <row r="34" spans="1:4">
      <c r="A34" s="55">
        <v>14</v>
      </c>
      <c r="B34" s="177"/>
      <c r="C34" s="200"/>
      <c r="D34" s="57"/>
    </row>
    <row r="35" spans="1:4">
      <c r="A35" s="55">
        <v>15</v>
      </c>
      <c r="B35" s="177"/>
      <c r="C35" s="200"/>
      <c r="D35" s="57"/>
    </row>
    <row r="37" spans="1:4">
      <c r="A37" s="20" t="s">
        <v>3</v>
      </c>
      <c r="B37" s="59" t="s">
        <v>18</v>
      </c>
      <c r="C37" s="60" t="s">
        <v>341</v>
      </c>
      <c r="D37" s="60" t="s">
        <v>35</v>
      </c>
    </row>
    <row r="38" spans="1:4">
      <c r="A38" s="55">
        <v>1</v>
      </c>
      <c r="B38" s="54" t="s">
        <v>55</v>
      </c>
      <c r="C38" s="195" t="s">
        <v>102</v>
      </c>
      <c r="D38" s="55" t="s">
        <v>30</v>
      </c>
    </row>
    <row r="39" spans="1:4">
      <c r="A39" s="55">
        <v>2</v>
      </c>
      <c r="B39" s="61" t="s">
        <v>65</v>
      </c>
      <c r="C39" s="195" t="s">
        <v>236</v>
      </c>
      <c r="D39" s="55" t="s">
        <v>30</v>
      </c>
    </row>
    <row r="40" spans="1:4">
      <c r="A40" s="55">
        <v>3</v>
      </c>
      <c r="B40" s="61" t="s">
        <v>54</v>
      </c>
      <c r="C40" s="195" t="s">
        <v>103</v>
      </c>
      <c r="D40" s="55" t="s">
        <v>30</v>
      </c>
    </row>
    <row r="41" spans="1:4">
      <c r="A41" s="55">
        <v>4</v>
      </c>
      <c r="B41" s="61" t="s">
        <v>66</v>
      </c>
      <c r="C41" s="195" t="s">
        <v>104</v>
      </c>
      <c r="D41" s="55" t="s">
        <v>30</v>
      </c>
    </row>
    <row r="42" spans="1:4">
      <c r="A42" s="55">
        <v>5</v>
      </c>
      <c r="B42" s="61" t="s">
        <v>67</v>
      </c>
      <c r="C42" s="195" t="s">
        <v>230</v>
      </c>
      <c r="D42" s="55" t="s">
        <v>30</v>
      </c>
    </row>
    <row r="43" spans="1:4">
      <c r="A43" s="55">
        <v>6</v>
      </c>
      <c r="B43" s="54" t="s">
        <v>63</v>
      </c>
      <c r="C43" s="198" t="s">
        <v>237</v>
      </c>
      <c r="D43" s="55" t="s">
        <v>30</v>
      </c>
    </row>
    <row r="44" spans="1:4">
      <c r="A44" s="55">
        <v>7</v>
      </c>
      <c r="B44" s="61" t="s">
        <v>64</v>
      </c>
      <c r="C44" s="195" t="s">
        <v>105</v>
      </c>
      <c r="D44" s="55" t="s">
        <v>30</v>
      </c>
    </row>
    <row r="45" spans="1:4">
      <c r="A45" s="55">
        <v>8</v>
      </c>
      <c r="B45" s="61" t="s">
        <v>162</v>
      </c>
      <c r="C45" s="195" t="s">
        <v>278</v>
      </c>
      <c r="D45" s="55" t="s">
        <v>30</v>
      </c>
    </row>
    <row r="46" spans="1:4">
      <c r="A46" s="55">
        <v>9</v>
      </c>
      <c r="B46" s="88" t="s">
        <v>163</v>
      </c>
      <c r="C46" s="195" t="s">
        <v>164</v>
      </c>
      <c r="D46" s="55" t="s">
        <v>30</v>
      </c>
    </row>
    <row r="47" spans="1:4">
      <c r="A47" s="55">
        <v>10</v>
      </c>
      <c r="B47" s="91" t="s">
        <v>160</v>
      </c>
      <c r="C47" s="195" t="s">
        <v>159</v>
      </c>
      <c r="D47" s="55" t="s">
        <v>30</v>
      </c>
    </row>
    <row r="48" spans="1:4">
      <c r="A48" s="55">
        <v>11</v>
      </c>
      <c r="B48" s="89" t="s">
        <v>161</v>
      </c>
      <c r="C48" s="198" t="s">
        <v>157</v>
      </c>
      <c r="D48" s="72" t="s">
        <v>30</v>
      </c>
    </row>
    <row r="49" spans="1:4">
      <c r="A49" s="55">
        <v>12</v>
      </c>
      <c r="B49" s="88" t="s">
        <v>158</v>
      </c>
      <c r="C49" s="195" t="s">
        <v>106</v>
      </c>
      <c r="D49" s="72" t="s">
        <v>30</v>
      </c>
    </row>
    <row r="50" spans="1:4">
      <c r="A50" s="55">
        <v>13</v>
      </c>
      <c r="B50" s="90" t="s">
        <v>165</v>
      </c>
      <c r="C50" s="198" t="s">
        <v>166</v>
      </c>
      <c r="D50" s="72" t="s">
        <v>30</v>
      </c>
    </row>
    <row r="51" spans="1:4">
      <c r="A51" s="55">
        <v>14</v>
      </c>
      <c r="B51" s="89" t="s">
        <v>68</v>
      </c>
      <c r="C51" s="198" t="s">
        <v>20</v>
      </c>
      <c r="D51" s="72" t="s">
        <v>30</v>
      </c>
    </row>
    <row r="52" spans="1:4">
      <c r="A52" s="55">
        <v>15</v>
      </c>
      <c r="B52" s="80" t="s">
        <v>69</v>
      </c>
      <c r="C52" s="201" t="s">
        <v>19</v>
      </c>
      <c r="D52" s="72" t="s">
        <v>30</v>
      </c>
    </row>
    <row r="53" spans="1:4">
      <c r="A53" s="55">
        <v>16</v>
      </c>
      <c r="B53" s="88"/>
      <c r="C53" s="202"/>
      <c r="D53" s="72"/>
    </row>
    <row r="54" spans="1:4">
      <c r="A54" s="55">
        <v>17</v>
      </c>
      <c r="B54" s="80"/>
      <c r="C54" s="203"/>
      <c r="D54" s="53"/>
    </row>
    <row r="55" spans="1:4">
      <c r="A55" s="55">
        <v>18</v>
      </c>
      <c r="B55" s="88"/>
      <c r="C55" s="202"/>
      <c r="D55" s="72"/>
    </row>
    <row r="56" spans="1:4">
      <c r="A56" s="55">
        <v>19</v>
      </c>
      <c r="B56" s="80"/>
      <c r="C56" s="203"/>
      <c r="D56" s="53"/>
    </row>
    <row r="57" spans="1:4">
      <c r="A57" s="55">
        <v>20</v>
      </c>
      <c r="B57" s="88"/>
      <c r="C57" s="202"/>
      <c r="D57" s="72"/>
    </row>
    <row r="59" spans="1:4">
      <c r="A59" s="20" t="s">
        <v>3</v>
      </c>
      <c r="B59" s="59" t="s">
        <v>193</v>
      </c>
      <c r="C59" s="60" t="s">
        <v>341</v>
      </c>
      <c r="D59" s="60" t="s">
        <v>35</v>
      </c>
    </row>
    <row r="60" spans="1:4">
      <c r="A60" s="55">
        <v>1</v>
      </c>
      <c r="B60" s="54" t="s">
        <v>197</v>
      </c>
      <c r="C60" s="195" t="s">
        <v>192</v>
      </c>
      <c r="D60" s="55" t="s">
        <v>30</v>
      </c>
    </row>
    <row r="61" spans="1:4">
      <c r="A61" s="55">
        <v>2</v>
      </c>
      <c r="B61" s="61" t="s">
        <v>229</v>
      </c>
      <c r="C61" s="195" t="s">
        <v>171</v>
      </c>
      <c r="D61" s="55" t="s">
        <v>30</v>
      </c>
    </row>
    <row r="62" spans="1:4">
      <c r="A62" s="55">
        <v>3</v>
      </c>
      <c r="B62" s="61" t="s">
        <v>196</v>
      </c>
      <c r="C62" s="195" t="s">
        <v>195</v>
      </c>
      <c r="D62" s="55" t="s">
        <v>30</v>
      </c>
    </row>
    <row r="63" spans="1:4">
      <c r="A63" s="55">
        <v>4</v>
      </c>
      <c r="B63" s="61" t="s">
        <v>194</v>
      </c>
      <c r="C63" s="195" t="s">
        <v>238</v>
      </c>
      <c r="D63" s="55" t="s">
        <v>30</v>
      </c>
    </row>
    <row r="64" spans="1:4">
      <c r="A64" s="55">
        <v>5</v>
      </c>
      <c r="B64" s="61" t="s">
        <v>198</v>
      </c>
      <c r="C64" s="195" t="s">
        <v>200</v>
      </c>
      <c r="D64" s="55" t="s">
        <v>30</v>
      </c>
    </row>
    <row r="65" spans="1:4">
      <c r="A65" s="55">
        <v>6</v>
      </c>
      <c r="B65" s="54" t="s">
        <v>201</v>
      </c>
      <c r="C65" s="198" t="s">
        <v>199</v>
      </c>
      <c r="D65" s="55" t="s">
        <v>30</v>
      </c>
    </row>
    <row r="66" spans="1:4">
      <c r="A66" s="55">
        <v>7</v>
      </c>
      <c r="B66" s="61" t="s">
        <v>203</v>
      </c>
      <c r="C66" s="195" t="s">
        <v>202</v>
      </c>
      <c r="D66" s="55" t="s">
        <v>30</v>
      </c>
    </row>
    <row r="67" spans="1:4">
      <c r="A67" s="55">
        <v>8</v>
      </c>
      <c r="B67" s="61" t="s">
        <v>204</v>
      </c>
      <c r="C67" s="195" t="s">
        <v>205</v>
      </c>
      <c r="D67" s="55" t="s">
        <v>30</v>
      </c>
    </row>
    <row r="68" spans="1:4">
      <c r="A68" s="55">
        <v>9</v>
      </c>
      <c r="B68" s="88" t="s">
        <v>207</v>
      </c>
      <c r="C68" s="195" t="s">
        <v>206</v>
      </c>
      <c r="D68" s="55" t="s">
        <v>30</v>
      </c>
    </row>
    <row r="69" spans="1:4">
      <c r="A69" s="55">
        <v>10</v>
      </c>
      <c r="B69" s="91" t="s">
        <v>208</v>
      </c>
      <c r="C69" s="195" t="s">
        <v>209</v>
      </c>
      <c r="D69" s="55" t="s">
        <v>30</v>
      </c>
    </row>
    <row r="70" spans="1:4">
      <c r="A70" s="55">
        <v>11</v>
      </c>
      <c r="B70" s="89" t="s">
        <v>211</v>
      </c>
      <c r="C70" s="198" t="s">
        <v>210</v>
      </c>
      <c r="D70" s="72" t="s">
        <v>30</v>
      </c>
    </row>
    <row r="71" spans="1:4">
      <c r="A71" s="55">
        <v>12</v>
      </c>
      <c r="B71" s="88" t="s">
        <v>212</v>
      </c>
      <c r="C71" s="195" t="s">
        <v>228</v>
      </c>
      <c r="D71" s="72" t="s">
        <v>30</v>
      </c>
    </row>
    <row r="72" spans="1:4">
      <c r="A72" s="55">
        <v>13</v>
      </c>
      <c r="B72" s="90" t="s">
        <v>227</v>
      </c>
      <c r="C72" s="198" t="s">
        <v>226</v>
      </c>
      <c r="D72" s="72" t="s">
        <v>30</v>
      </c>
    </row>
    <row r="73" spans="1:4">
      <c r="A73" s="55">
        <v>14</v>
      </c>
      <c r="B73" s="90" t="s">
        <v>213</v>
      </c>
      <c r="C73" s="198" t="s">
        <v>218</v>
      </c>
      <c r="D73" s="72" t="s">
        <v>30</v>
      </c>
    </row>
    <row r="74" spans="1:4">
      <c r="A74" s="55">
        <v>15</v>
      </c>
      <c r="B74" s="80" t="s">
        <v>215</v>
      </c>
      <c r="C74" s="201" t="s">
        <v>219</v>
      </c>
      <c r="D74" s="72" t="s">
        <v>30</v>
      </c>
    </row>
    <row r="75" spans="1:4">
      <c r="A75" s="55">
        <v>16</v>
      </c>
      <c r="B75" s="80" t="s">
        <v>214</v>
      </c>
      <c r="C75" s="201" t="s">
        <v>337</v>
      </c>
      <c r="D75" s="72" t="s">
        <v>30</v>
      </c>
    </row>
    <row r="76" spans="1:4">
      <c r="A76" s="55">
        <v>17</v>
      </c>
      <c r="B76" s="88" t="s">
        <v>216</v>
      </c>
      <c r="C76" s="198" t="s">
        <v>217</v>
      </c>
      <c r="D76" s="72" t="s">
        <v>30</v>
      </c>
    </row>
    <row r="77" spans="1:4">
      <c r="A77" s="55">
        <v>18</v>
      </c>
      <c r="B77" s="80" t="s">
        <v>220</v>
      </c>
      <c r="C77" s="201" t="s">
        <v>221</v>
      </c>
      <c r="D77" s="72" t="s">
        <v>30</v>
      </c>
    </row>
    <row r="78" spans="1:4">
      <c r="A78" s="55">
        <v>19</v>
      </c>
      <c r="B78" s="88" t="s">
        <v>222</v>
      </c>
      <c r="C78" s="198" t="s">
        <v>223</v>
      </c>
      <c r="D78" s="72" t="s">
        <v>30</v>
      </c>
    </row>
    <row r="79" spans="1:4">
      <c r="A79" s="55">
        <v>20</v>
      </c>
      <c r="B79" s="80" t="s">
        <v>224</v>
      </c>
      <c r="C79" s="201" t="s">
        <v>225</v>
      </c>
      <c r="D79" s="72" t="s">
        <v>30</v>
      </c>
    </row>
    <row r="80" spans="1:4">
      <c r="A80" s="55">
        <v>21</v>
      </c>
      <c r="B80" s="150"/>
      <c r="C80" s="195"/>
      <c r="D80" s="72"/>
    </row>
    <row r="81" spans="1:4">
      <c r="A81" s="55">
        <v>22</v>
      </c>
      <c r="B81" s="150"/>
      <c r="C81" s="195"/>
      <c r="D81" s="72"/>
    </row>
    <row r="82" spans="1:4">
      <c r="A82" s="55">
        <v>23</v>
      </c>
      <c r="B82" s="150"/>
      <c r="C82" s="195"/>
      <c r="D82" s="72"/>
    </row>
    <row r="83" spans="1:4">
      <c r="A83" s="55">
        <v>24</v>
      </c>
      <c r="B83" s="150"/>
      <c r="C83" s="195"/>
      <c r="D83" s="72"/>
    </row>
    <row r="84" spans="1:4">
      <c r="A84" s="151">
        <v>25</v>
      </c>
      <c r="B84" s="152"/>
      <c r="C84" s="204"/>
      <c r="D84" s="153"/>
    </row>
    <row r="85" spans="1:4">
      <c r="A85" s="154"/>
      <c r="B85" s="155"/>
      <c r="C85" s="155"/>
      <c r="D85" s="155"/>
    </row>
    <row r="86" spans="1:4">
      <c r="A86" s="154"/>
      <c r="B86" s="155"/>
      <c r="C86" s="155"/>
      <c r="D86" s="155"/>
    </row>
  </sheetData>
  <phoneticPr fontId="1"/>
  <conditionalFormatting sqref="D20">
    <cfRule type="timePeriod" dxfId="167" priority="5" timePeriod="today">
      <formula>FLOOR(D20,1)=TODAY()</formula>
    </cfRule>
  </conditionalFormatting>
  <conditionalFormatting sqref="D37">
    <cfRule type="timePeriod" dxfId="166" priority="4" timePeriod="today">
      <formula>FLOOR(D37,1)=TODAY()</formula>
    </cfRule>
  </conditionalFormatting>
  <conditionalFormatting sqref="D3">
    <cfRule type="timePeriod" dxfId="165" priority="3" timePeriod="today">
      <formula>FLOOR(D3,1)=TODAY()</formula>
    </cfRule>
  </conditionalFormatting>
  <conditionalFormatting sqref="D59">
    <cfRule type="timePeriod" dxfId="164" priority="1" timePeriod="today">
      <formula>FLOOR(D59,1)=TODAY()</formula>
    </cfRule>
  </conditionalFormatting>
  <hyperlinks>
    <hyperlink ref="C4" r:id="rId1" xr:uid="{791055CC-077B-40C8-8CCC-2D3092659C1A}"/>
    <hyperlink ref="C5" r:id="rId2" xr:uid="{BDF4A17A-56CC-4C9F-B1D5-A2D8E0DBEB75}"/>
    <hyperlink ref="C21" r:id="rId3" xr:uid="{2F76760A-7FEA-483D-BBF3-5299227960C3}"/>
    <hyperlink ref="C23" r:id="rId4" xr:uid="{66CFAF91-81D5-4A90-B76E-DE128E4739AA}"/>
    <hyperlink ref="C24" r:id="rId5" xr:uid="{FA9545D7-2749-4EB1-B7FD-DF4AE2A2B1EC}"/>
    <hyperlink ref="C38" r:id="rId6" xr:uid="{A5369411-8A89-4B51-9845-85347DB81D80}"/>
    <hyperlink ref="C39" r:id="rId7" xr:uid="{AF063CFD-D928-49AE-8CEC-C890FBD341F9}"/>
    <hyperlink ref="C40" r:id="rId8" xr:uid="{CEE5415C-66A7-4AF5-8261-C3E41E85D56A}"/>
    <hyperlink ref="C41" r:id="rId9" xr:uid="{B397242D-7A18-45AB-B7C8-36BD1EEE88E6}"/>
    <hyperlink ref="C42" r:id="rId10" xr:uid="{A30B74F7-DD39-4D31-B23D-EABABD5258D8}"/>
    <hyperlink ref="C43" r:id="rId11" xr:uid="{CD00C9FA-A9C5-4B56-B9DF-82A8D8C50D19}"/>
    <hyperlink ref="C44" r:id="rId12" xr:uid="{41B03433-2D7C-4217-810C-281A5917ED53}"/>
    <hyperlink ref="C22" r:id="rId13" xr:uid="{4A3FAD73-C388-4584-82F2-8FCB4356B417}"/>
    <hyperlink ref="C25" r:id="rId14" xr:uid="{6E01C0DD-5DDE-4005-8121-691CECBD2731}"/>
    <hyperlink ref="C26" r:id="rId15" xr:uid="{6A95528D-85B1-49F9-9A93-4164D62CB64A}"/>
    <hyperlink ref="C27" r:id="rId16" xr:uid="{5E9E26DD-9963-4438-AC5B-EAB5ADAB001A}"/>
    <hyperlink ref="C51" r:id="rId17" xr:uid="{65265CAC-A234-4EA0-969B-C4E8972C48B8}"/>
    <hyperlink ref="C52" r:id="rId18" xr:uid="{537EF9F5-754C-44BF-9E04-B9202FEB9E1C}"/>
    <hyperlink ref="C49" r:id="rId19" xr:uid="{E2CB6904-FD2A-42A2-8F19-550501CA933C}"/>
    <hyperlink ref="C48" r:id="rId20" xr:uid="{212D9F9F-5D57-49B4-A323-F119DCF75EF2}"/>
    <hyperlink ref="C47" r:id="rId21" xr:uid="{96FDB90D-EB9F-4C42-BC4E-AECC1EA062CF}"/>
    <hyperlink ref="C46" r:id="rId22" xr:uid="{878093A5-02D9-48FE-9875-3725BF7F9C4B}"/>
    <hyperlink ref="C50" r:id="rId23" xr:uid="{B1262BEC-E3C3-420A-9DD4-BDCE40846053}"/>
    <hyperlink ref="C60" r:id="rId24" xr:uid="{FE2AB49F-0EEF-46D4-972B-C40C71E9E401}"/>
    <hyperlink ref="C64" r:id="rId25" xr:uid="{98831086-B5A0-4156-89C3-61A8CDBD5CF0}"/>
    <hyperlink ref="C65" r:id="rId26" xr:uid="{9FB5B6D8-8BEA-47CE-B39A-FE98CDCFB538}"/>
    <hyperlink ref="C66" r:id="rId27" xr:uid="{9A33D133-3C1A-4A1E-8CA5-9EE695FE4E5E}"/>
    <hyperlink ref="C70" r:id="rId28" xr:uid="{705A3481-3015-4EE4-AA69-F8939EDBCA94}"/>
    <hyperlink ref="C69" r:id="rId29" xr:uid="{49505AF4-07BC-489B-962D-FF66D4FF3824}"/>
    <hyperlink ref="C68" r:id="rId30" xr:uid="{19B1C5AD-B31E-4191-8459-AE98733AE986}"/>
    <hyperlink ref="C62" r:id="rId31" xr:uid="{C8998723-6937-4FB5-A224-66CDB440A35E}"/>
    <hyperlink ref="C67" r:id="rId32" xr:uid="{17D621BC-5B16-4EA9-AB37-0F098AA581F9}"/>
    <hyperlink ref="C72" r:id="rId33" xr:uid="{40214386-1066-4D39-8782-C4B51FC2E10B}"/>
    <hyperlink ref="C73" r:id="rId34" xr:uid="{515DE2C6-C71A-438E-A05C-E2771A4DB469}"/>
    <hyperlink ref="C71" r:id="rId35" xr:uid="{4EDDEE35-4576-4EEA-922C-4E45B36B29C6}"/>
    <hyperlink ref="C61" r:id="rId36" xr:uid="{1FCA817A-CCB0-4081-8565-C75125392D1C}"/>
    <hyperlink ref="C63" r:id="rId37" xr:uid="{17A08419-A4FB-4BAF-98E4-5E132DE3771E}"/>
    <hyperlink ref="C7" r:id="rId38" xr:uid="{8AEB73D4-3819-4210-A4A6-D713F4D03693}"/>
    <hyperlink ref="C8" r:id="rId39" xr:uid="{26630221-A4B6-4DCF-A8AC-A0530DFF2923}"/>
    <hyperlink ref="C9" r:id="rId40" xr:uid="{F6CD9312-587C-4DAC-A7AD-B84CEA9E8655}"/>
    <hyperlink ref="C10" r:id="rId41" xr:uid="{E3407CBC-DDF9-4AD3-80D2-039311203EF3}"/>
    <hyperlink ref="C11" r:id="rId42" xr:uid="{C25CAE1E-44C5-44EC-82BC-ED49E8FA42D2}"/>
    <hyperlink ref="C12" r:id="rId43" xr:uid="{4A67C95F-5653-4B26-B888-03B96B59EA62}"/>
    <hyperlink ref="C13" r:id="rId44" xr:uid="{E04CA64F-6B55-4D1C-AF79-B089A53EF285}"/>
    <hyperlink ref="C14" r:id="rId45" xr:uid="{5C5BA887-368E-4395-BA66-6988C4985102}"/>
    <hyperlink ref="C6" r:id="rId46" xr:uid="{127A8C4D-649E-417F-9B51-8663CE21E37C}"/>
    <hyperlink ref="C45" r:id="rId47" xr:uid="{E68E7244-65E8-4D6A-B26B-5DCDE6C7682E}"/>
    <hyperlink ref="C74" r:id="rId48" xr:uid="{6471F639-2A20-45B6-971D-317601D7A8A9}"/>
    <hyperlink ref="C75" r:id="rId49" xr:uid="{8CB39FF1-F67B-46CC-BA05-5DE8B41576DD}"/>
    <hyperlink ref="C76" r:id="rId50" xr:uid="{DCA1ADED-CF27-4057-9E2E-4F1E33A16F2F}"/>
    <hyperlink ref="C77" r:id="rId51" xr:uid="{B8D855A3-5DFF-4A2F-B8E8-72FB8E02DCDC}"/>
    <hyperlink ref="C78" r:id="rId52" xr:uid="{9638CAE1-FDB9-4242-9689-6EDDEC011551}"/>
    <hyperlink ref="C79" r:id="rId53" xr:uid="{C7C41979-B453-475E-9D75-E60FB9DB96A8}"/>
  </hyperlinks>
  <pageMargins left="0.25" right="0.25" top="0.75" bottom="0.75" header="0.3" footer="0.3"/>
  <pageSetup paperSize="9" scale="73" fitToHeight="0" orientation="portrait" r:id="rId54"/>
  <rowBreaks count="1" manualBreakCount="1">
    <brk id="36" max="3" man="1"/>
  </rowBreaks>
  <drawing r:id="rId55"/>
  <tableParts count="4">
    <tablePart r:id="rId56"/>
    <tablePart r:id="rId57"/>
    <tablePart r:id="rId58"/>
    <tablePart r:id="rId59"/>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1F8EB-7506-486E-8EF2-DE3B66401080}">
  <sheetPr>
    <tabColor theme="8" tint="0.59999389629810485"/>
  </sheetPr>
  <dimension ref="A1:F40"/>
  <sheetViews>
    <sheetView showGridLines="0" showRuler="0" showWhiteSpace="0" zoomScaleNormal="100" workbookViewId="0">
      <selection activeCell="A2" sqref="A2"/>
    </sheetView>
  </sheetViews>
  <sheetFormatPr defaultColWidth="10.625" defaultRowHeight="18.75"/>
  <cols>
    <col min="1" max="1" width="36.25" style="6" customWidth="1"/>
    <col min="2" max="2" width="31.875" style="6" customWidth="1"/>
  </cols>
  <sheetData>
    <row r="1" spans="1:6" ht="19.5">
      <c r="A1" s="15" t="s">
        <v>80</v>
      </c>
      <c r="B1" s="25"/>
    </row>
    <row r="3" spans="1:6">
      <c r="A3" s="161" t="s">
        <v>123</v>
      </c>
      <c r="B3" s="162" t="s">
        <v>185</v>
      </c>
      <c r="C3" s="194"/>
    </row>
    <row r="4" spans="1:6">
      <c r="A4" s="156" t="s">
        <v>173</v>
      </c>
      <c r="B4" s="157" t="s">
        <v>41</v>
      </c>
      <c r="C4" s="194"/>
    </row>
    <row r="5" spans="1:6">
      <c r="A5" s="156" t="s">
        <v>174</v>
      </c>
      <c r="B5" s="158" t="s">
        <v>42</v>
      </c>
      <c r="C5" s="194"/>
    </row>
    <row r="6" spans="1:6">
      <c r="A6" s="156" t="s">
        <v>175</v>
      </c>
      <c r="B6" s="158" t="s">
        <v>90</v>
      </c>
      <c r="C6" s="194"/>
    </row>
    <row r="7" spans="1:6">
      <c r="A7" s="156" t="s">
        <v>176</v>
      </c>
      <c r="B7" s="158" t="s">
        <v>43</v>
      </c>
      <c r="C7" s="194"/>
      <c r="D7" s="194"/>
      <c r="E7" s="194"/>
      <c r="F7" s="194"/>
    </row>
    <row r="8" spans="1:6">
      <c r="A8" s="159" t="s">
        <v>181</v>
      </c>
      <c r="B8" s="160" t="s">
        <v>182</v>
      </c>
      <c r="C8" s="194"/>
      <c r="D8" s="194"/>
      <c r="E8" s="194"/>
      <c r="F8" s="194"/>
    </row>
    <row r="9" spans="1:6">
      <c r="A9" s="26"/>
      <c r="B9" s="26"/>
    </row>
    <row r="10" spans="1:6">
      <c r="A10" s="161" t="s">
        <v>81</v>
      </c>
      <c r="B10" s="162" t="s">
        <v>184</v>
      </c>
    </row>
    <row r="11" spans="1:6">
      <c r="A11" s="156" t="s">
        <v>177</v>
      </c>
      <c r="B11" s="158" t="s">
        <v>41</v>
      </c>
    </row>
    <row r="12" spans="1:6">
      <c r="A12" s="156" t="s">
        <v>178</v>
      </c>
      <c r="B12" s="158" t="s">
        <v>42</v>
      </c>
    </row>
    <row r="13" spans="1:6">
      <c r="A13" s="156" t="s">
        <v>40</v>
      </c>
      <c r="B13" s="158" t="s">
        <v>42</v>
      </c>
    </row>
    <row r="14" spans="1:6">
      <c r="A14" s="159" t="s">
        <v>183</v>
      </c>
      <c r="B14" s="160" t="s">
        <v>42</v>
      </c>
    </row>
    <row r="15" spans="1:6">
      <c r="A15" s="212"/>
      <c r="B15" s="213"/>
    </row>
    <row r="16" spans="1:6">
      <c r="A16" s="214" t="s">
        <v>255</v>
      </c>
      <c r="B16" s="215" t="s">
        <v>184</v>
      </c>
    </row>
    <row r="17" spans="1:2">
      <c r="A17" s="216" t="s">
        <v>187</v>
      </c>
      <c r="B17" s="217" t="s">
        <v>41</v>
      </c>
    </row>
    <row r="18" spans="1:2">
      <c r="A18" s="216" t="s">
        <v>188</v>
      </c>
      <c r="B18" s="218" t="s">
        <v>42</v>
      </c>
    </row>
    <row r="19" spans="1:2">
      <c r="A19" s="216" t="s">
        <v>191</v>
      </c>
      <c r="B19" s="218" t="s">
        <v>90</v>
      </c>
    </row>
    <row r="20" spans="1:2">
      <c r="A20" s="216" t="s">
        <v>189</v>
      </c>
      <c r="B20" s="218" t="s">
        <v>43</v>
      </c>
    </row>
    <row r="21" spans="1:2">
      <c r="A21" s="219" t="s">
        <v>190</v>
      </c>
      <c r="B21" s="220" t="s">
        <v>182</v>
      </c>
    </row>
    <row r="22" spans="1:2">
      <c r="A22" s="205"/>
      <c r="B22" s="206"/>
    </row>
    <row r="23" spans="1:2">
      <c r="A23" s="166" t="s">
        <v>184</v>
      </c>
      <c r="B23" s="162" t="s">
        <v>145</v>
      </c>
    </row>
    <row r="24" spans="1:2">
      <c r="A24" s="163" t="s">
        <v>148</v>
      </c>
      <c r="B24" s="207" t="s">
        <v>144</v>
      </c>
    </row>
    <row r="25" spans="1:2">
      <c r="A25" s="163" t="s">
        <v>149</v>
      </c>
      <c r="B25" s="207" t="s">
        <v>82</v>
      </c>
    </row>
    <row r="26" spans="1:2">
      <c r="A26" s="163" t="s">
        <v>150</v>
      </c>
      <c r="B26" s="207" t="s">
        <v>146</v>
      </c>
    </row>
    <row r="27" spans="1:2">
      <c r="A27" s="163" t="s">
        <v>78</v>
      </c>
      <c r="B27" s="207" t="s">
        <v>147</v>
      </c>
    </row>
    <row r="28" spans="1:2">
      <c r="A28" s="163" t="s">
        <v>73</v>
      </c>
      <c r="B28" s="207" t="s">
        <v>79</v>
      </c>
    </row>
    <row r="29" spans="1:2">
      <c r="A29" s="164"/>
      <c r="B29" s="165"/>
    </row>
    <row r="30" spans="1:2">
      <c r="A30" s="167" t="s">
        <v>366</v>
      </c>
      <c r="B30" s="168" t="s">
        <v>75</v>
      </c>
    </row>
    <row r="31" spans="1:2">
      <c r="A31" s="208" t="s">
        <v>244</v>
      </c>
      <c r="B31" s="209" t="s">
        <v>92</v>
      </c>
    </row>
    <row r="32" spans="1:2">
      <c r="A32" s="208" t="s">
        <v>249</v>
      </c>
      <c r="B32" s="209" t="s">
        <v>245</v>
      </c>
    </row>
    <row r="33" spans="1:2">
      <c r="A33" s="208" t="s">
        <v>179</v>
      </c>
      <c r="B33" s="209" t="s">
        <v>246</v>
      </c>
    </row>
    <row r="34" spans="1:2">
      <c r="A34" s="208" t="s">
        <v>247</v>
      </c>
      <c r="B34" s="209" t="s">
        <v>248</v>
      </c>
    </row>
    <row r="35" spans="1:2">
      <c r="A35" s="208" t="s">
        <v>367</v>
      </c>
      <c r="B35" s="209" t="s">
        <v>368</v>
      </c>
    </row>
    <row r="36" spans="1:2">
      <c r="A36" s="210"/>
      <c r="B36" s="210"/>
    </row>
    <row r="37" spans="1:2">
      <c r="A37" s="211"/>
      <c r="B37" s="211"/>
    </row>
    <row r="38" spans="1:2">
      <c r="A38" s="211"/>
      <c r="B38" s="211"/>
    </row>
    <row r="39" spans="1:2">
      <c r="A39" s="211"/>
      <c r="B39" s="211"/>
    </row>
    <row r="40" spans="1:2">
      <c r="A40" s="211"/>
      <c r="B40" s="211"/>
    </row>
  </sheetData>
  <sheetProtection sheet="1" objects="1" scenarios="1"/>
  <phoneticPr fontId="1"/>
  <pageMargins left="0.7" right="0.7" top="0.75" bottom="0.75" header="0.3" footer="0.3"/>
  <pageSetup paperSize="9" scale="56" orientation="portrait" r:id="rId1"/>
  <drawing r:id="rId2"/>
  <tableParts count="5">
    <tablePart r:id="rId3"/>
    <tablePart r:id="rId4"/>
    <tablePart r:id="rId5"/>
    <tablePart r:id="rId6"/>
    <tablePart r:id="rId7"/>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EEE7F-FAA1-4E6B-A474-52C21803B947}">
  <sheetPr codeName="Sheet13">
    <tabColor theme="9" tint="0.59999389629810485"/>
    <pageSetUpPr fitToPage="1"/>
  </sheetPr>
  <dimension ref="A1:F53"/>
  <sheetViews>
    <sheetView showGridLines="0" showRuler="0" showWhiteSpace="0" zoomScaleNormal="100" zoomScalePageLayoutView="25" workbookViewId="0">
      <selection activeCell="A2" sqref="A2"/>
    </sheetView>
  </sheetViews>
  <sheetFormatPr defaultColWidth="10.625" defaultRowHeight="18.75"/>
  <cols>
    <col min="1" max="1" width="4.875" style="134" customWidth="1"/>
    <col min="2" max="6" width="34.875" style="135" customWidth="1"/>
  </cols>
  <sheetData>
    <row r="1" spans="1:6" ht="19.5">
      <c r="A1" s="1" t="s">
        <v>31</v>
      </c>
      <c r="B1" s="2"/>
      <c r="C1" s="2"/>
      <c r="D1" s="2"/>
      <c r="E1" s="2"/>
      <c r="F1" s="2"/>
    </row>
    <row r="2" spans="1:6">
      <c r="A2" s="4"/>
      <c r="B2" s="5"/>
      <c r="C2" s="6"/>
      <c r="D2" s="6"/>
      <c r="E2" s="6"/>
      <c r="F2" s="6"/>
    </row>
    <row r="3" spans="1:6" ht="28.5">
      <c r="A3" s="105" t="s">
        <v>3</v>
      </c>
      <c r="B3" s="108" t="s">
        <v>15</v>
      </c>
      <c r="C3" s="108" t="s">
        <v>129</v>
      </c>
      <c r="D3" s="108" t="s">
        <v>130</v>
      </c>
      <c r="E3" s="109" t="s">
        <v>131</v>
      </c>
      <c r="F3" s="109" t="s">
        <v>142</v>
      </c>
    </row>
    <row r="4" spans="1:6" ht="63.75">
      <c r="A4" s="92">
        <f t="shared" ref="A4:A35" si="0">ROW()-3</f>
        <v>1</v>
      </c>
      <c r="B4" s="93" t="s">
        <v>342</v>
      </c>
      <c r="C4" s="94" t="str">
        <f>IFERROR(VLOOKUP($B4,テーブル1[[ソフトウェア]:[製品ベンダサイト（セキュリティアドバイザリ等）]],2,0),"")</f>
        <v>①キーボードの「Windows」キーを押しながら「R」キーを押します。
②「ファイル名を指定して実行」の「名前」欄に「winver」と入力し、「OK」をクリックします。</v>
      </c>
      <c r="D4" s="114" t="str">
        <f>HYPERLINK(IFERROR(VLOOKUP($B4,テーブル1[[ソフトウェア]:[製品ベンダサイト（セキュリティアドバイザリ等）]],3,0),""))</f>
        <v>https://support.microsoft.com/en-us/help/4555932</v>
      </c>
      <c r="E4" s="114" t="str">
        <f>HYPERLINK(IFERROR(VLOOKUP($B4,テーブル1[[ソフトウェア]:[製品ベンダサイト（セキュリティアドバイザリ等）]],4,0),""))</f>
        <v>①キーボードの「Windows」キーを押しながら「R」キーを押します。
②「ファイル名を指定して実行」の「名前」欄に「ms-settings:windowsupdate」と入力し、「OK」をクリックします。</v>
      </c>
      <c r="F4" s="114" t="str">
        <f>HYPERLINK(IFERROR(VLOOKUP($B4,テーブル1[[ソフトウェア]:[製品ベンダサイト（セキュリティアドバイザリ等）]],5,0),""))</f>
        <v>https://portal.msrc.microsoft.com/en-us/security-guidance</v>
      </c>
    </row>
    <row r="5" spans="1:6" ht="63.75">
      <c r="A5" s="92">
        <f t="shared" si="0"/>
        <v>2</v>
      </c>
      <c r="B5" s="93" t="s">
        <v>281</v>
      </c>
      <c r="C5" s="94" t="str">
        <f>IFERROR(VLOOKUP($B5,テーブル1[[ソフトウェア]:[製品ベンダサイト（セキュリティアドバイザリ等）]],2,0),"")</f>
        <v>①キーボードの「Windows」キーを押しながら「R」キーを押します。
②オプションの「名前」欄に「appwiz.cpl」(Win8.1)または「ms-settings:appsfeatures」(Win10)と入力し、「OK」をクリックします。</v>
      </c>
      <c r="D5" s="114" t="str">
        <f>HYPERLINK(IFERROR(VLOOKUP($B5,テーブル1[[ソフトウェア]:[製品ベンダサイト（セキュリティアドバイザリ等）]],3,0),""))</f>
        <v>https://www.adobe.com/devnet-docs/acrobatetk/tools/ReleaseNotesDC/index.html</v>
      </c>
      <c r="E5" s="114" t="str">
        <f>HYPERLINK(IFERROR(VLOOKUP($B5,テーブル1[[ソフトウェア]:[製品ベンダサイト（セキュリティアドバイザリ等）]],4,0),""))</f>
        <v>https://get.adobe.com/jp/reader/</v>
      </c>
      <c r="F5" s="114" t="str">
        <f>HYPERLINK(IFERROR(VLOOKUP($B5,テーブル1[[ソフトウェア]:[製品ベンダサイト（セキュリティアドバイザリ等）]],5,0),""))</f>
        <v>https://helpx.adobe.com/security.html#acrobat</v>
      </c>
    </row>
    <row r="6" spans="1:6" ht="63.75">
      <c r="A6" s="92">
        <f t="shared" si="0"/>
        <v>3</v>
      </c>
      <c r="B6" s="93" t="s">
        <v>282</v>
      </c>
      <c r="C6" s="94" t="str">
        <f>IFERROR(VLOOKUP($B6,テーブル1[[ソフトウェア]:[製品ベンダサイト（セキュリティアドバイザリ等）]],2,0),"")</f>
        <v>①キーボードの「Windows」キーを押しながら「R」キーを押します。
②オプションの「名前」欄に「appwiz.cpl」(Win8.1)または「ms-settings:appsfeatures」(Win10)と入力し、「OK」をクリックします。</v>
      </c>
      <c r="D6" s="114" t="str">
        <f>HYPERLINK(IFERROR(VLOOKUP($B6,テーブル1[[ソフトウェア]:[製品ベンダサイト（セキュリティアドバイザリ等）]],3,0),""))</f>
        <v>https://helpx.adobe.com/flash-player/release-note/fp_32_air_32_release_notes.html#released_versions</v>
      </c>
      <c r="E6" s="114" t="str">
        <f>HYPERLINK(IFERROR(VLOOKUP($B6,テーブル1[[ソフトウェア]:[製品ベンダサイト（セキュリティアドバイザリ等）]],4,0),""))</f>
        <v>https://get.adobe.com/jp/air/</v>
      </c>
      <c r="F6" s="114" t="str">
        <f>HYPERLINK(IFERROR(VLOOKUP($B6,テーブル1[[ソフトウェア]:[製品ベンダサイト（セキュリティアドバイザリ等）]],5,0),""))</f>
        <v>https://helpx.adobe.com/security.html#air</v>
      </c>
    </row>
    <row r="7" spans="1:6" ht="63.75">
      <c r="A7" s="92">
        <f t="shared" si="0"/>
        <v>4</v>
      </c>
      <c r="B7" s="93" t="s">
        <v>283</v>
      </c>
      <c r="C7" s="94" t="str">
        <f>IFERROR(VLOOKUP($B7,テーブル1[[ソフトウェア]:[製品ベンダサイト（セキュリティアドバイザリ等）]],2,0),"")</f>
        <v>①Internet Explorerを起動します。
②右上の「ツール（歯車アイコン）」から「アドオンの管理」をクリックします。
③「ツールバーと拡張機能」にある「Shockwave Flash Object」をクリックします。</v>
      </c>
      <c r="D7" s="114" t="str">
        <f>HYPERLINK(IFERROR(VLOOKUP($B7,テーブル1[[ソフトウェア]:[製品ベンダサイト（セキュリティアドバイザリ等）]],3,0),""))</f>
        <v>https://helpx.adobe.com/flash-player/release-note/fp_32_air_32_release_notes.html#released_versions</v>
      </c>
      <c r="E7" s="114" t="str">
        <f>HYPERLINK(IFERROR(VLOOKUP($B7,テーブル1[[ソフトウェア]:[製品ベンダサイト（セキュリティアドバイザリ等）]],4,0),""))</f>
        <v>https://get.adobe.com/jp/flashplayer/</v>
      </c>
      <c r="F7" s="114" t="str">
        <f>HYPERLINK(IFERROR(VLOOKUP($B7,テーブル1[[ソフトウェア]:[製品ベンダサイト（セキュリティアドバイザリ等）]],5,0),""))</f>
        <v>https://helpx.adobe.com/security.html#flashplayer</v>
      </c>
    </row>
    <row r="8" spans="1:6" ht="76.5">
      <c r="A8" s="92">
        <f t="shared" si="0"/>
        <v>5</v>
      </c>
      <c r="B8" s="93" t="s">
        <v>10</v>
      </c>
      <c r="C8" s="94" t="str">
        <f>IFERROR(VLOOKUP($B8,テーブル1[[ソフトウェア]:[製品ベンダサイト（セキュリティアドバイザリ等）]],2,0),"")</f>
        <v>①キーボードの「Windows」キーを押しながら「R」キーを押します。
②「ファイル名を指定して実行」の「名前」欄に「appwiz.cpl」(Win8.1)または「ms-settings:appsfeatures」(Win10)と入力し、「OK」をクリックします。</v>
      </c>
      <c r="D8" s="114" t="str">
        <f>HYPERLINK(IFERROR(VLOOKUP($B8,テーブル1[[ソフトウェア]:[製品ベンダサイト（セキュリティアドバイザリ等）]],3,0),""))</f>
        <v>https://chromiumdash.appspot.com/releases?platform=Windows</v>
      </c>
      <c r="E8" s="114" t="str">
        <f>HYPERLINK(IFERROR(VLOOKUP($B8,テーブル1[[ソフトウェア]:[製品ベンダサイト（セキュリティアドバイザリ等）]],4,0),""))</f>
        <v>https://www.google.com/chrome/</v>
      </c>
      <c r="F8" s="114" t="str">
        <f>HYPERLINK(IFERROR(VLOOKUP($B8,テーブル1[[ソフトウェア]:[製品ベンダサイト（セキュリティアドバイザリ等）]],5,0),""))</f>
        <v>https://chromereleases.googleblog.com/</v>
      </c>
    </row>
    <row r="9" spans="1:6" ht="25.5">
      <c r="A9" s="92">
        <f t="shared" si="0"/>
        <v>6</v>
      </c>
      <c r="B9" s="93" t="s">
        <v>284</v>
      </c>
      <c r="C9" s="94" t="str">
        <f>IFERROR(VLOOKUP($B9,テーブル1[[ソフトウェア]:[製品ベンダサイト（セキュリティアドバイザリ等）]],2,0),"")</f>
        <v>①iLogScanner（オフライン版）を起動します。
②ウインドウに表示される（v【x.x】）を確認します。</v>
      </c>
      <c r="D9" s="114" t="str">
        <f>HYPERLINK(IFERROR(VLOOKUP($B9,テーブル1[[ソフトウェア]:[製品ベンダサイト（セキュリティアドバイザリ等）]],3,0),""))</f>
        <v>https://www.ipa.go.jp/security/vuln/iLogScanner/</v>
      </c>
      <c r="E9" s="114" t="str">
        <f>HYPERLINK(IFERROR(VLOOKUP($B9,テーブル1[[ソフトウェア]:[製品ベンダサイト（セキュリティアドバイザリ等）]],4,0),""))</f>
        <v>https://www.ipa.go.jp/security/vuln/iLogScanner/</v>
      </c>
      <c r="F9" s="114" t="str">
        <f>HYPERLINK(IFERROR(VLOOKUP($B9,テーブル1[[ソフトウェア]:[製品ベンダサイト（セキュリティアドバイザリ等）]],5,0),""))</f>
        <v>https://www.ipa.go.jp/security/vuln/iLogScanner/</v>
      </c>
    </row>
    <row r="10" spans="1:6" ht="76.5">
      <c r="A10" s="92">
        <f t="shared" si="0"/>
        <v>7</v>
      </c>
      <c r="B10" s="93" t="s">
        <v>371</v>
      </c>
      <c r="C10" s="94" t="str">
        <f>IFERROR(VLOOKUP($B10,テーブル1[[ソフトウェア]:[製品ベンダサイト（セキュリティアドバイザリ等）]],2,0),"")</f>
        <v>①キーボードの「Windows」キーを押しながら「R」キーを押します。
②「ファイル名を指定して実行」の「名前」欄に「appwiz.cpl」(Win8.1)または「ms-settings:appsfeatures」(Win10)と入力し、「OK」をクリックします。</v>
      </c>
      <c r="D10" s="114" t="str">
        <f>HYPERLINK(IFERROR(VLOOKUP($B10,テーブル1[[ソフトウェア]:[製品ベンダサイト（セキュリティアドバイザリ等）]],3,0),""))</f>
        <v>https://www.oracle.com/java/technologies/javase/8u-relnotes.html</v>
      </c>
      <c r="E10" s="114" t="str">
        <f>HYPERLINK(IFERROR(VLOOKUP($B10,テーブル1[[ソフトウェア]:[製品ベンダサイト（セキュリティアドバイザリ等）]],4,0),""))</f>
        <v>https://www.oracle.com/java/technologies/javase-jre8-downloads.html</v>
      </c>
      <c r="F10" s="114" t="str">
        <f>HYPERLINK(IFERROR(VLOOKUP($B10,テーブル1[[ソフトウェア]:[製品ベンダサイト（セキュリティアドバイザリ等）]],5,0),""))</f>
        <v>https://www.oracle.com/security-alerts/</v>
      </c>
    </row>
    <row r="11" spans="1:6" ht="76.5">
      <c r="A11" s="92">
        <f t="shared" si="0"/>
        <v>8</v>
      </c>
      <c r="B11" s="93" t="s">
        <v>167</v>
      </c>
      <c r="C11" s="94" t="str">
        <f>IFERROR(VLOOKUP($B11,テーブル1[[ソフトウェア]:[製品ベンダサイト（セキュリティアドバイザリ等）]],2,0),"")</f>
        <v>①キーボードの「Windows」キーを押しながら「R」キーを押します。
②「ファイル名を指定して実行」の「名前」欄に「appwiz.cpl」(Win8.1)または「ms-settings:appsfeatures」(Win10)と入力し、「OK」をクリックします。</v>
      </c>
      <c r="D11" s="114" t="str">
        <f>HYPERLINK(IFERROR(VLOOKUP($B11,テーブル1[[ソフトウェア]:[製品ベンダサイト（セキュリティアドバイザリ等）]],3,0),""))</f>
        <v>https://docs.microsoft.com/en-us/DeployEdge/microsoft-edge-relnote-stable-channel</v>
      </c>
      <c r="E11" s="114" t="str">
        <f>HYPERLINK(IFERROR(VLOOKUP($B11,テーブル1[[ソフトウェア]:[製品ベンダサイト（セキュリティアドバイザリ等）]],4,0),""))</f>
        <v>https://www.microsoft.com/ja-jp/edge</v>
      </c>
      <c r="F11" s="114" t="str">
        <f>HYPERLINK(IFERROR(VLOOKUP($B11,テーブル1[[ソフトウェア]:[製品ベンダサイト（セキュリティアドバイザリ等）]],5,0),""))</f>
        <v>https://docs.microsoft.com/en-us/DeployEdge/microsoft-edge-relnotes-security</v>
      </c>
    </row>
    <row r="12" spans="1:6" ht="76.5">
      <c r="A12" s="92">
        <f t="shared" si="0"/>
        <v>9</v>
      </c>
      <c r="B12" s="93" t="s">
        <v>285</v>
      </c>
      <c r="C12" s="94" t="str">
        <f>IFERROR(VLOOKUP($B12,テーブル1[[ソフトウェア]:[製品ベンダサイト（セキュリティアドバイザリ等）]],2,0),"")</f>
        <v>①キーボードの「Windows」キーを押しながら「R」キーを押します。
②「ファイル名を指定して実行」の「名前」欄に「appwiz.cpl」(Win8.1)または「ms-settings:appsfeatures」(Win10)と入力し、「OK」をクリックします。</v>
      </c>
      <c r="D12" s="114" t="str">
        <f>HYPERLINK(IFERROR(VLOOKUP($B12,テーブル1[[ソフトウェア]:[製品ベンダサイト（セキュリティアドバイザリ等）]],3,0),""))</f>
        <v>https://jvndb.jvn.jp/apis/myjvn/mjcheck3.html</v>
      </c>
      <c r="E12" s="114" t="str">
        <f>HYPERLINK(IFERROR(VLOOKUP($B12,テーブル1[[ソフトウェア]:[製品ベンダサイト（セキュリティアドバイザリ等）]],4,0),""))</f>
        <v>https://jvndb.jvn.jp/apis/myjvn/mjcheck3.html</v>
      </c>
      <c r="F12" s="114" t="str">
        <f>HYPERLINK(IFERROR(VLOOKUP($B12,テーブル1[[ソフトウェア]:[製品ベンダサイト（セキュリティアドバイザリ等）]],5,0),""))</f>
        <v>https://jvndb.jvn.jp/apis/myjvn/mjcheck3.html</v>
      </c>
    </row>
    <row r="13" spans="1:6" ht="76.5">
      <c r="A13" s="92">
        <f t="shared" si="0"/>
        <v>10</v>
      </c>
      <c r="B13" s="93" t="s">
        <v>34</v>
      </c>
      <c r="C13" s="94" t="str">
        <f>IFERROR(VLOOKUP($B13,テーブル1[[ソフトウェア]:[製品ベンダサイト（セキュリティアドバイザリ等）]],2,0),"")</f>
        <v>①キーボードの「Windows」キーを押しながら「R」キーを押します。
②「ファイル名を指定して実行」の「名前」欄に「appwiz.cpl」(Win8.1)または「ms-settings:appsfeatures」(Win10)と入力し、「OK」をクリックします。</v>
      </c>
      <c r="D13" s="114" t="str">
        <f>HYPERLINK(IFERROR(VLOOKUP($B13,テーブル1[[ソフトウェア]:[製品ベンダサイト（セキュリティアドバイザリ等）]],3,0),""))</f>
        <v>https://www.mozilla.org/en-US/firefox/releases/</v>
      </c>
      <c r="E13" s="114" t="str">
        <f>HYPERLINK(IFERROR(VLOOKUP($B13,テーブル1[[ソフトウェア]:[製品ベンダサイト（セキュリティアドバイザリ等）]],4,0),""))</f>
        <v>https://www.mozilla.org/ja/firefox/organizations/all/#ja</v>
      </c>
      <c r="F13" s="114" t="str">
        <f>HYPERLINK(IFERROR(VLOOKUP($B13,テーブル1[[ソフトウェア]:[製品ベンダサイト（セキュリティアドバイザリ等）]],5,0),""))</f>
        <v>https://www.mozilla.org/en-US/security/known-vulnerabilities/firefox-esr/</v>
      </c>
    </row>
    <row r="14" spans="1:6" ht="76.5">
      <c r="A14" s="92">
        <f t="shared" si="0"/>
        <v>11</v>
      </c>
      <c r="B14" s="93" t="s">
        <v>7</v>
      </c>
      <c r="C14" s="94" t="str">
        <f>IFERROR(VLOOKUP($B14,テーブル1[[ソフトウェア]:[製品ベンダサイト（セキュリティアドバイザリ等）]],2,0),"")</f>
        <v>①キーボードの「Windows」キーを押しながら「R」キーを押します。
②「ファイル名を指定して実行」の「名前」欄に「appwiz.cpl」(Win8.1)または「ms-settings:appsfeatures」(Win10)と入力し、「OK」をクリックします。</v>
      </c>
      <c r="D14" s="114" t="str">
        <f>HYPERLINK(IFERROR(VLOOKUP($B14,テーブル1[[ソフトウェア]:[製品ベンダサイト（セキュリティアドバイザリ等）]],3,0),""))</f>
        <v>https://www.mozilla.org/en-US/thunderbird/releases/</v>
      </c>
      <c r="E14" s="114" t="str">
        <f>HYPERLINK(IFERROR(VLOOKUP($B14,テーブル1[[ソフトウェア]:[製品ベンダサイト（セキュリティアドバイザリ等）]],4,0),""))</f>
        <v>https://www.thunderbird.net/ja/</v>
      </c>
      <c r="F14" s="114" t="str">
        <f>HYPERLINK(IFERROR(VLOOKUP($B14,テーブル1[[ソフトウェア]:[製品ベンダサイト（セキュリティアドバイザリ等）]],5,0),""))</f>
        <v>https://www.mozilla.org/en-US/security/known-vulnerabilities/thunderbird/</v>
      </c>
    </row>
    <row r="15" spans="1:6" ht="38.25">
      <c r="A15" s="92">
        <f t="shared" si="0"/>
        <v>12</v>
      </c>
      <c r="B15" s="93" t="s">
        <v>286</v>
      </c>
      <c r="C15" s="94" t="str">
        <f>IFERROR(VLOOKUP($B15,テーブル1[[ソフトウェア]:[製品ベンダサイト（セキュリティアドバイザリ等）]],2,0),"")</f>
        <v>①MyJVNバージョンチェッカ for .NETを起動します。
②ウインドウに表示される（v【x.x】）を確認します。</v>
      </c>
      <c r="D15" s="114" t="str">
        <f>HYPERLINK(IFERROR(VLOOKUP($B15,テーブル1[[ソフトウェア]:[製品ベンダサイト（セキュリティアドバイザリ等）]],3,0),""))</f>
        <v>https://jvndb.jvn.jp/apis/myjvn/vccheckdotnet.html</v>
      </c>
      <c r="E15" s="114" t="str">
        <f>HYPERLINK(IFERROR(VLOOKUP($B15,テーブル1[[ソフトウェア]:[製品ベンダサイト（セキュリティアドバイザリ等）]],4,0),""))</f>
        <v>https://jvndb.jvn.jp/apis/myjvn/vccheckdotnet.html</v>
      </c>
      <c r="F15" s="114" t="str">
        <f>HYPERLINK(IFERROR(VLOOKUP($B15,テーブル1[[ソフトウェア]:[製品ベンダサイト（セキュリティアドバイザリ等）]],5,0),""))</f>
        <v>https://jvndb.jvn.jp/apis/myjvn/vccheckdotnet.html</v>
      </c>
    </row>
    <row r="16" spans="1:6" ht="76.5">
      <c r="A16" s="92">
        <f t="shared" si="0"/>
        <v>13</v>
      </c>
      <c r="B16" s="93" t="s">
        <v>287</v>
      </c>
      <c r="C16" s="94" t="str">
        <f>IFERROR(VLOOKUP($B16,テーブル1[[ソフトウェア]:[製品ベンダサイト（セキュリティアドバイザリ等）]],2,0),"")</f>
        <v>①キーボードの「Windows」キーを押しながら「R」キーを押します。
②「ファイル名を指定して実行」の「名前」欄に「appwiz.cpl」(Win8.1)または「ms-settings:appsfeatures」(Win10)と入力し、「OK」をクリックします。</v>
      </c>
      <c r="D16" s="114" t="str">
        <f>HYPERLINK(IFERROR(VLOOKUP($B16,テーブル1[[ソフトウェア]:[製品ベンダサイト（セキュリティアドバイザリ等）]],3,0),""))</f>
        <v>https://osdn.net/projects/ttssh2/releases/</v>
      </c>
      <c r="E16" s="114" t="str">
        <f>HYPERLINK(IFERROR(VLOOKUP($B16,テーブル1[[ソフトウェア]:[製品ベンダサイト（セキュリティアドバイザリ等）]],4,0),""))</f>
        <v>https://osdn.net/projects/ttssh2/releases/</v>
      </c>
      <c r="F16" s="114" t="str">
        <f>HYPERLINK(IFERROR(VLOOKUP($B16,テーブル1[[ソフトウェア]:[製品ベンダサイト（セキュリティアドバイザリ等）]],5,0),""))</f>
        <v>https://osdn.net/projects/ttssh2/releases/p7801</v>
      </c>
    </row>
    <row r="17" spans="1:6" ht="76.5">
      <c r="A17" s="92">
        <f t="shared" si="0"/>
        <v>14</v>
      </c>
      <c r="B17" s="93" t="s">
        <v>288</v>
      </c>
      <c r="C17" s="94" t="str">
        <f>IFERROR(VLOOKUP($B17,テーブル1[[ソフトウェア]:[製品ベンダサイト（セキュリティアドバイザリ等）]],2,0),"")</f>
        <v>①キーボードの「Windows」キーを押しながら「R」キーを押します。
②「ファイル名を指定して実行」の「名前」欄に「appwiz.cpl」(Win8.1)または「ms-settings:appsfeatures」(Win10)と入力し、「OK」をクリックします。</v>
      </c>
      <c r="D17" s="114" t="str">
        <f>HYPERLINK(IFERROR(VLOOKUP($B17,テーブル1[[ソフトウェア]:[製品ベンダサイト（セキュリティアドバイザリ等）]],3,0),""))</f>
        <v>https://docs.vmware.com/jp/VMware-Workstation-Player/index.html</v>
      </c>
      <c r="E17" s="114" t="str">
        <f>HYPERLINK(IFERROR(VLOOKUP($B17,テーブル1[[ソフトウェア]:[製品ベンダサイト（セキュリティアドバイザリ等）]],4,0),""))</f>
        <v>https://www.vmware.com/jp/products/workstation-player/workstation-player-evaluation.html</v>
      </c>
      <c r="F17" s="114" t="str">
        <f>HYPERLINK(IFERROR(VLOOKUP($B17,テーブル1[[ソフトウェア]:[製品ベンダサイト（セキュリティアドバイザリ等）]],5,0),""))</f>
        <v>https://www.vmware.com/security/advisories.html</v>
      </c>
    </row>
    <row r="18" spans="1:6" ht="76.5">
      <c r="A18" s="92">
        <f t="shared" si="0"/>
        <v>15</v>
      </c>
      <c r="B18" s="93" t="s">
        <v>289</v>
      </c>
      <c r="C18" s="94" t="str">
        <f>IFERROR(VLOOKUP($B18,テーブル1[[ソフトウェア]:[製品ベンダサイト（セキュリティアドバイザリ等）]],2,0),"")</f>
        <v>①キーボードの「Windows」キーを押しながら「R」キーを押します。
②「ファイル名を指定して実行」の「名前」欄に「appwiz.cpl」(Win8.1)または「ms-settings:appsfeatures」(Win10)と入力し、「OK」をクリックします。</v>
      </c>
      <c r="D18" s="114" t="str">
        <f>HYPERLINK(IFERROR(VLOOKUP($B18,テーブル1[[ソフトウェア]:[製品ベンダサイト（セキュリティアドバイザリ等）]],3,0),""))</f>
        <v>https://winscp.net/eng/news.php</v>
      </c>
      <c r="E18" s="114" t="str">
        <f>HYPERLINK(IFERROR(VLOOKUP($B18,テーブル1[[ソフトウェア]:[製品ベンダサイト（セキュリティアドバイザリ等）]],4,0),""))</f>
        <v>https://winscp.net/eng/download.php</v>
      </c>
      <c r="F18" s="114" t="str">
        <f>HYPERLINK(IFERROR(VLOOKUP($B18,テーブル1[[ソフトウェア]:[製品ベンダサイト（セキュリティアドバイザリ等）]],5,0),""))</f>
        <v>https://winscp.net/eng/docs/history</v>
      </c>
    </row>
    <row r="19" spans="1:6">
      <c r="A19" s="92">
        <f t="shared" si="0"/>
        <v>16</v>
      </c>
      <c r="B19" s="93"/>
      <c r="C19" s="94" t="str">
        <f>IFERROR(VLOOKUP($B19,テーブル1[[ソフトウェア]:[製品ベンダサイト（セキュリティアドバイザリ等）]],2,0),"")</f>
        <v/>
      </c>
      <c r="D19" s="114" t="str">
        <f>HYPERLINK(IFERROR(VLOOKUP($B19,テーブル1[[ソフトウェア]:[製品ベンダサイト（セキュリティアドバイザリ等）]],3,0),""))</f>
        <v/>
      </c>
      <c r="E19" s="114" t="str">
        <f>HYPERLINK(IFERROR(VLOOKUP($B19,テーブル1[[ソフトウェア]:[製品ベンダサイト（セキュリティアドバイザリ等）]],4,0),""))</f>
        <v/>
      </c>
      <c r="F19" s="114" t="str">
        <f>HYPERLINK(IFERROR(VLOOKUP($B19,テーブル1[[ソフトウェア]:[製品ベンダサイト（セキュリティアドバイザリ等）]],5,0),""))</f>
        <v/>
      </c>
    </row>
    <row r="20" spans="1:6">
      <c r="A20" s="92">
        <f t="shared" si="0"/>
        <v>17</v>
      </c>
      <c r="B20" s="93"/>
      <c r="C20" s="94" t="str">
        <f>IFERROR(VLOOKUP($B20,テーブル1[[ソフトウェア]:[製品ベンダサイト（セキュリティアドバイザリ等）]],2,0),"")</f>
        <v/>
      </c>
      <c r="D20" s="114" t="str">
        <f>HYPERLINK(IFERROR(VLOOKUP($B20,テーブル1[[ソフトウェア]:[製品ベンダサイト（セキュリティアドバイザリ等）]],3,0),""))</f>
        <v/>
      </c>
      <c r="E20" s="114" t="str">
        <f>HYPERLINK(IFERROR(VLOOKUP($B20,テーブル1[[ソフトウェア]:[製品ベンダサイト（セキュリティアドバイザリ等）]],4,0),""))</f>
        <v/>
      </c>
      <c r="F20" s="114" t="str">
        <f>HYPERLINK(IFERROR(VLOOKUP($B20,テーブル1[[ソフトウェア]:[製品ベンダサイト（セキュリティアドバイザリ等）]],5,0),""))</f>
        <v/>
      </c>
    </row>
    <row r="21" spans="1:6">
      <c r="A21" s="92">
        <f t="shared" si="0"/>
        <v>18</v>
      </c>
      <c r="B21" s="93"/>
      <c r="C21" s="94" t="str">
        <f>IFERROR(VLOOKUP($B21,テーブル1[[ソフトウェア]:[製品ベンダサイト（セキュリティアドバイザリ等）]],2,0),"")</f>
        <v/>
      </c>
      <c r="D21" s="114" t="str">
        <f>HYPERLINK(IFERROR(VLOOKUP($B21,テーブル1[[ソフトウェア]:[製品ベンダサイト（セキュリティアドバイザリ等）]],3,0),""))</f>
        <v/>
      </c>
      <c r="E21" s="114" t="str">
        <f>HYPERLINK(IFERROR(VLOOKUP($B21,テーブル1[[ソフトウェア]:[製品ベンダサイト（セキュリティアドバイザリ等）]],4,0),""))</f>
        <v/>
      </c>
      <c r="F21" s="114" t="str">
        <f>HYPERLINK(IFERROR(VLOOKUP($B21,テーブル1[[ソフトウェア]:[製品ベンダサイト（セキュリティアドバイザリ等）]],5,0),""))</f>
        <v/>
      </c>
    </row>
    <row r="22" spans="1:6">
      <c r="A22" s="92">
        <f t="shared" si="0"/>
        <v>19</v>
      </c>
      <c r="B22" s="93"/>
      <c r="C22" s="94" t="str">
        <f>IFERROR(VLOOKUP($B22,テーブル1[[ソフトウェア]:[製品ベンダサイト（セキュリティアドバイザリ等）]],2,0),"")</f>
        <v/>
      </c>
      <c r="D22" s="114" t="str">
        <f>HYPERLINK(IFERROR(VLOOKUP($B22,テーブル1[[ソフトウェア]:[製品ベンダサイト（セキュリティアドバイザリ等）]],3,0),""))</f>
        <v/>
      </c>
      <c r="E22" s="114" t="str">
        <f>HYPERLINK(IFERROR(VLOOKUP($B22,テーブル1[[ソフトウェア]:[製品ベンダサイト（セキュリティアドバイザリ等）]],4,0),""))</f>
        <v/>
      </c>
      <c r="F22" s="114" t="str">
        <f>HYPERLINK(IFERROR(VLOOKUP($B22,テーブル1[[ソフトウェア]:[製品ベンダサイト（セキュリティアドバイザリ等）]],5,0),""))</f>
        <v/>
      </c>
    </row>
    <row r="23" spans="1:6">
      <c r="A23" s="92">
        <f t="shared" si="0"/>
        <v>20</v>
      </c>
      <c r="B23" s="93"/>
      <c r="C23" s="94" t="str">
        <f>IFERROR(VLOOKUP($B23,テーブル1[[ソフトウェア]:[製品ベンダサイト（セキュリティアドバイザリ等）]],2,0),"")</f>
        <v/>
      </c>
      <c r="D23" s="114" t="str">
        <f>HYPERLINK(IFERROR(VLOOKUP($B23,テーブル1[[ソフトウェア]:[製品ベンダサイト（セキュリティアドバイザリ等）]],3,0),""))</f>
        <v/>
      </c>
      <c r="E23" s="114" t="str">
        <f>HYPERLINK(IFERROR(VLOOKUP($B23,テーブル1[[ソフトウェア]:[製品ベンダサイト（セキュリティアドバイザリ等）]],4,0),""))</f>
        <v/>
      </c>
      <c r="F23" s="114" t="str">
        <f>HYPERLINK(IFERROR(VLOOKUP($B23,テーブル1[[ソフトウェア]:[製品ベンダサイト（セキュリティアドバイザリ等）]],5,0),""))</f>
        <v/>
      </c>
    </row>
    <row r="24" spans="1:6">
      <c r="A24" s="92">
        <f t="shared" si="0"/>
        <v>21</v>
      </c>
      <c r="B24" s="93"/>
      <c r="C24" s="94" t="str">
        <f>IFERROR(VLOOKUP($B24,テーブル1[[ソフトウェア]:[製品ベンダサイト（セキュリティアドバイザリ等）]],2,0),"")</f>
        <v/>
      </c>
      <c r="D24" s="114" t="str">
        <f>HYPERLINK(IFERROR(VLOOKUP($B24,テーブル1[[ソフトウェア]:[製品ベンダサイト（セキュリティアドバイザリ等）]],3,0),""))</f>
        <v/>
      </c>
      <c r="E24" s="114" t="str">
        <f>HYPERLINK(IFERROR(VLOOKUP($B24,テーブル1[[ソフトウェア]:[製品ベンダサイト（セキュリティアドバイザリ等）]],4,0),""))</f>
        <v/>
      </c>
      <c r="F24" s="114" t="str">
        <f>HYPERLINK(IFERROR(VLOOKUP($B24,テーブル1[[ソフトウェア]:[製品ベンダサイト（セキュリティアドバイザリ等）]],5,0),""))</f>
        <v/>
      </c>
    </row>
    <row r="25" spans="1:6">
      <c r="A25" s="92">
        <f t="shared" si="0"/>
        <v>22</v>
      </c>
      <c r="B25" s="93"/>
      <c r="C25" s="94" t="str">
        <f>IFERROR(VLOOKUP($B25,テーブル1[[ソフトウェア]:[製品ベンダサイト（セキュリティアドバイザリ等）]],2,0),"")</f>
        <v/>
      </c>
      <c r="D25" s="114" t="str">
        <f>HYPERLINK(IFERROR(VLOOKUP($B25,テーブル1[[ソフトウェア]:[製品ベンダサイト（セキュリティアドバイザリ等）]],3,0),""))</f>
        <v/>
      </c>
      <c r="E25" s="114" t="str">
        <f>HYPERLINK(IFERROR(VLOOKUP($B25,テーブル1[[ソフトウェア]:[製品ベンダサイト（セキュリティアドバイザリ等）]],4,0),""))</f>
        <v/>
      </c>
      <c r="F25" s="114" t="str">
        <f>HYPERLINK(IFERROR(VLOOKUP($B25,テーブル1[[ソフトウェア]:[製品ベンダサイト（セキュリティアドバイザリ等）]],5,0),""))</f>
        <v/>
      </c>
    </row>
    <row r="26" spans="1:6">
      <c r="A26" s="92">
        <f t="shared" si="0"/>
        <v>23</v>
      </c>
      <c r="B26" s="110"/>
      <c r="C26" s="94" t="str">
        <f>IFERROR(VLOOKUP($B26,テーブル1[[ソフトウェア]:[製品ベンダサイト（セキュリティアドバイザリ等）]],2,0),"")</f>
        <v/>
      </c>
      <c r="D26" s="114" t="str">
        <f>HYPERLINK(IFERROR(VLOOKUP($B26,テーブル1[[ソフトウェア]:[製品ベンダサイト（セキュリティアドバイザリ等）]],3,0),""))</f>
        <v/>
      </c>
      <c r="E26" s="114" t="str">
        <f>HYPERLINK(IFERROR(VLOOKUP($B26,テーブル1[[ソフトウェア]:[製品ベンダサイト（セキュリティアドバイザリ等）]],4,0),""))</f>
        <v/>
      </c>
      <c r="F26" s="114" t="str">
        <f>HYPERLINK(IFERROR(VLOOKUP($B26,テーブル1[[ソフトウェア]:[製品ベンダサイト（セキュリティアドバイザリ等）]],5,0),""))</f>
        <v/>
      </c>
    </row>
    <row r="27" spans="1:6">
      <c r="A27" s="92">
        <f t="shared" si="0"/>
        <v>24</v>
      </c>
      <c r="B27" s="110"/>
      <c r="C27" s="94" t="str">
        <f>IFERROR(VLOOKUP($B27,テーブル1[[ソフトウェア]:[製品ベンダサイト（セキュリティアドバイザリ等）]],2,0),"")</f>
        <v/>
      </c>
      <c r="D27" s="114" t="str">
        <f>HYPERLINK(IFERROR(VLOOKUP($B27,テーブル1[[ソフトウェア]:[製品ベンダサイト（セキュリティアドバイザリ等）]],3,0),""))</f>
        <v/>
      </c>
      <c r="E27" s="114" t="str">
        <f>HYPERLINK(IFERROR(VLOOKUP($B27,テーブル1[[ソフトウェア]:[製品ベンダサイト（セキュリティアドバイザリ等）]],4,0),""))</f>
        <v/>
      </c>
      <c r="F27" s="114" t="str">
        <f>HYPERLINK(IFERROR(VLOOKUP($B27,テーブル1[[ソフトウェア]:[製品ベンダサイト（セキュリティアドバイザリ等）]],5,0),""))</f>
        <v/>
      </c>
    </row>
    <row r="28" spans="1:6">
      <c r="A28" s="92">
        <f t="shared" si="0"/>
        <v>25</v>
      </c>
      <c r="B28" s="93"/>
      <c r="C28" s="94" t="str">
        <f>IFERROR(VLOOKUP($B28,テーブル1[[ソフトウェア]:[製品ベンダサイト（セキュリティアドバイザリ等）]],2,0),"")</f>
        <v/>
      </c>
      <c r="D28" s="114" t="str">
        <f>HYPERLINK(IFERROR(VLOOKUP($B28,テーブル1[[ソフトウェア]:[製品ベンダサイト（セキュリティアドバイザリ等）]],3,0),""))</f>
        <v/>
      </c>
      <c r="E28" s="114" t="str">
        <f>HYPERLINK(IFERROR(VLOOKUP($B28,テーブル1[[ソフトウェア]:[製品ベンダサイト（セキュリティアドバイザリ等）]],4,0),""))</f>
        <v/>
      </c>
      <c r="F28" s="114" t="str">
        <f>HYPERLINK(IFERROR(VLOOKUP($B28,テーブル1[[ソフトウェア]:[製品ベンダサイト（セキュリティアドバイザリ等）]],5,0),""))</f>
        <v/>
      </c>
    </row>
    <row r="29" spans="1:6">
      <c r="A29" s="92">
        <f t="shared" si="0"/>
        <v>26</v>
      </c>
      <c r="B29" s="93"/>
      <c r="C29" s="94" t="str">
        <f>IFERROR(VLOOKUP($B29,テーブル1[[ソフトウェア]:[製品ベンダサイト（セキュリティアドバイザリ等）]],2,0),"")</f>
        <v/>
      </c>
      <c r="D29" s="114" t="str">
        <f>HYPERLINK(IFERROR(VLOOKUP($B29,テーブル1[[ソフトウェア]:[製品ベンダサイト（セキュリティアドバイザリ等）]],3,0),""))</f>
        <v/>
      </c>
      <c r="E29" s="114" t="str">
        <f>HYPERLINK(IFERROR(VLOOKUP($B29,テーブル1[[ソフトウェア]:[製品ベンダサイト（セキュリティアドバイザリ等）]],4,0),""))</f>
        <v/>
      </c>
      <c r="F29" s="114" t="str">
        <f>HYPERLINK(IFERROR(VLOOKUP($B29,テーブル1[[ソフトウェア]:[製品ベンダサイト（セキュリティアドバイザリ等）]],5,0),""))</f>
        <v/>
      </c>
    </row>
    <row r="30" spans="1:6">
      <c r="A30" s="92">
        <f t="shared" si="0"/>
        <v>27</v>
      </c>
      <c r="B30" s="93"/>
      <c r="C30" s="94" t="str">
        <f>IFERROR(VLOOKUP($B30,テーブル1[[ソフトウェア]:[製品ベンダサイト（セキュリティアドバイザリ等）]],2,0),"")</f>
        <v/>
      </c>
      <c r="D30" s="114" t="str">
        <f>HYPERLINK(IFERROR(VLOOKUP($B30,テーブル1[[ソフトウェア]:[製品ベンダサイト（セキュリティアドバイザリ等）]],3,0),""))</f>
        <v/>
      </c>
      <c r="E30" s="114" t="str">
        <f>HYPERLINK(IFERROR(VLOOKUP($B30,テーブル1[[ソフトウェア]:[製品ベンダサイト（セキュリティアドバイザリ等）]],4,0),""))</f>
        <v/>
      </c>
      <c r="F30" s="114" t="str">
        <f>HYPERLINK(IFERROR(VLOOKUP($B30,テーブル1[[ソフトウェア]:[製品ベンダサイト（セキュリティアドバイザリ等）]],5,0),""))</f>
        <v/>
      </c>
    </row>
    <row r="31" spans="1:6">
      <c r="A31" s="92">
        <f t="shared" si="0"/>
        <v>28</v>
      </c>
      <c r="B31" s="93"/>
      <c r="C31" s="94" t="str">
        <f>IFERROR(VLOOKUP($B31,テーブル1[[ソフトウェア]:[製品ベンダサイト（セキュリティアドバイザリ等）]],2,0),"")</f>
        <v/>
      </c>
      <c r="D31" s="114" t="str">
        <f>HYPERLINK(IFERROR(VLOOKUP($B31,テーブル1[[ソフトウェア]:[製品ベンダサイト（セキュリティアドバイザリ等）]],3,0),""))</f>
        <v/>
      </c>
      <c r="E31" s="114" t="str">
        <f>HYPERLINK(IFERROR(VLOOKUP($B31,テーブル1[[ソフトウェア]:[製品ベンダサイト（セキュリティアドバイザリ等）]],4,0),""))</f>
        <v/>
      </c>
      <c r="F31" s="114" t="str">
        <f>HYPERLINK(IFERROR(VLOOKUP($B31,テーブル1[[ソフトウェア]:[製品ベンダサイト（セキュリティアドバイザリ等）]],5,0),""))</f>
        <v/>
      </c>
    </row>
    <row r="32" spans="1:6">
      <c r="A32" s="92">
        <f t="shared" si="0"/>
        <v>29</v>
      </c>
      <c r="B32" s="93"/>
      <c r="C32" s="94" t="str">
        <f>IFERROR(VLOOKUP($B32,テーブル1[[ソフトウェア]:[製品ベンダサイト（セキュリティアドバイザリ等）]],2,0),"")</f>
        <v/>
      </c>
      <c r="D32" s="114" t="str">
        <f>HYPERLINK(IFERROR(VLOOKUP($B32,テーブル1[[ソフトウェア]:[製品ベンダサイト（セキュリティアドバイザリ等）]],3,0),""))</f>
        <v/>
      </c>
      <c r="E32" s="114" t="str">
        <f>HYPERLINK(IFERROR(VLOOKUP($B32,テーブル1[[ソフトウェア]:[製品ベンダサイト（セキュリティアドバイザリ等）]],4,0),""))</f>
        <v/>
      </c>
      <c r="F32" s="114" t="str">
        <f>HYPERLINK(IFERROR(VLOOKUP($B32,テーブル1[[ソフトウェア]:[製品ベンダサイト（セキュリティアドバイザリ等）]],5,0),""))</f>
        <v/>
      </c>
    </row>
    <row r="33" spans="1:6">
      <c r="A33" s="92">
        <f t="shared" si="0"/>
        <v>30</v>
      </c>
      <c r="B33" s="93"/>
      <c r="C33" s="94" t="str">
        <f>IFERROR(VLOOKUP($B33,テーブル1[[ソフトウェア]:[製品ベンダサイト（セキュリティアドバイザリ等）]],2,0),"")</f>
        <v/>
      </c>
      <c r="D33" s="114" t="str">
        <f>HYPERLINK(IFERROR(VLOOKUP($B33,テーブル1[[ソフトウェア]:[製品ベンダサイト（セキュリティアドバイザリ等）]],3,0),""))</f>
        <v/>
      </c>
      <c r="E33" s="114" t="str">
        <f>HYPERLINK(IFERROR(VLOOKUP($B33,テーブル1[[ソフトウェア]:[製品ベンダサイト（セキュリティアドバイザリ等）]],4,0),""))</f>
        <v/>
      </c>
      <c r="F33" s="114" t="str">
        <f>HYPERLINK(IFERROR(VLOOKUP($B33,テーブル1[[ソフトウェア]:[製品ベンダサイト（セキュリティアドバイザリ等）]],5,0),""))</f>
        <v/>
      </c>
    </row>
    <row r="34" spans="1:6">
      <c r="A34" s="92">
        <f t="shared" si="0"/>
        <v>31</v>
      </c>
      <c r="B34" s="93"/>
      <c r="C34" s="94" t="str">
        <f>IFERROR(VLOOKUP($B34,テーブル1[[ソフトウェア]:[製品ベンダサイト（セキュリティアドバイザリ等）]],2,0),"")</f>
        <v/>
      </c>
      <c r="D34" s="114" t="str">
        <f>HYPERLINK(IFERROR(VLOOKUP($B34,テーブル1[[ソフトウェア]:[製品ベンダサイト（セキュリティアドバイザリ等）]],3,0),""))</f>
        <v/>
      </c>
      <c r="E34" s="114" t="str">
        <f>HYPERLINK(IFERROR(VLOOKUP($B34,テーブル1[[ソフトウェア]:[製品ベンダサイト（セキュリティアドバイザリ等）]],4,0),""))</f>
        <v/>
      </c>
      <c r="F34" s="114" t="str">
        <f>HYPERLINK(IFERROR(VLOOKUP($B34,テーブル1[[ソフトウェア]:[製品ベンダサイト（セキュリティアドバイザリ等）]],5,0),""))</f>
        <v/>
      </c>
    </row>
    <row r="35" spans="1:6">
      <c r="A35" s="92">
        <f t="shared" si="0"/>
        <v>32</v>
      </c>
      <c r="B35" s="103"/>
      <c r="C35" s="94" t="str">
        <f>IFERROR(VLOOKUP($B35,テーブル1[[ソフトウェア]:[製品ベンダサイト（セキュリティアドバイザリ等）]],2,0),"")</f>
        <v/>
      </c>
      <c r="D35" s="114" t="str">
        <f>HYPERLINK(IFERROR(VLOOKUP($B35,テーブル1[[ソフトウェア]:[製品ベンダサイト（セキュリティアドバイザリ等）]],3,0),""))</f>
        <v/>
      </c>
      <c r="E35" s="114" t="str">
        <f>HYPERLINK(IFERROR(VLOOKUP($B35,テーブル1[[ソフトウェア]:[製品ベンダサイト（セキュリティアドバイザリ等）]],4,0),""))</f>
        <v/>
      </c>
      <c r="F35" s="114" t="str">
        <f>HYPERLINK(IFERROR(VLOOKUP($B35,テーブル1[[ソフトウェア]:[製品ベンダサイト（セキュリティアドバイザリ等）]],5,0),""))</f>
        <v/>
      </c>
    </row>
    <row r="36" spans="1:6">
      <c r="A36" s="92">
        <f t="shared" ref="A36:A53" si="1">ROW()-3</f>
        <v>33</v>
      </c>
      <c r="B36" s="103"/>
      <c r="C36" s="94" t="str">
        <f>IFERROR(VLOOKUP($B36,テーブル1[[ソフトウェア]:[製品ベンダサイト（セキュリティアドバイザリ等）]],2,0),"")</f>
        <v/>
      </c>
      <c r="D36" s="114" t="str">
        <f>HYPERLINK(IFERROR(VLOOKUP($B36,テーブル1[[ソフトウェア]:[製品ベンダサイト（セキュリティアドバイザリ等）]],3,0),""))</f>
        <v/>
      </c>
      <c r="E36" s="114" t="str">
        <f>HYPERLINK(IFERROR(VLOOKUP($B36,テーブル1[[ソフトウェア]:[製品ベンダサイト（セキュリティアドバイザリ等）]],4,0),""))</f>
        <v/>
      </c>
      <c r="F36" s="114" t="str">
        <f>HYPERLINK(IFERROR(VLOOKUP($B36,テーブル1[[ソフトウェア]:[製品ベンダサイト（セキュリティアドバイザリ等）]],5,0),""))</f>
        <v/>
      </c>
    </row>
    <row r="37" spans="1:6">
      <c r="A37" s="92">
        <f t="shared" si="1"/>
        <v>34</v>
      </c>
      <c r="B37" s="103"/>
      <c r="C37" s="94" t="str">
        <f>IFERROR(VLOOKUP($B37,テーブル1[[ソフトウェア]:[製品ベンダサイト（セキュリティアドバイザリ等）]],2,0),"")</f>
        <v/>
      </c>
      <c r="D37" s="114" t="str">
        <f>HYPERLINK(IFERROR(VLOOKUP($B37,テーブル1[[ソフトウェア]:[製品ベンダサイト（セキュリティアドバイザリ等）]],3,0),""))</f>
        <v/>
      </c>
      <c r="E37" s="114" t="str">
        <f>HYPERLINK(IFERROR(VLOOKUP($B37,テーブル1[[ソフトウェア]:[製品ベンダサイト（セキュリティアドバイザリ等）]],4,0),""))</f>
        <v/>
      </c>
      <c r="F37" s="114" t="str">
        <f>HYPERLINK(IFERROR(VLOOKUP($B37,テーブル1[[ソフトウェア]:[製品ベンダサイト（セキュリティアドバイザリ等）]],5,0),""))</f>
        <v/>
      </c>
    </row>
    <row r="38" spans="1:6">
      <c r="A38" s="92">
        <f t="shared" si="1"/>
        <v>35</v>
      </c>
      <c r="B38" s="103"/>
      <c r="C38" s="94" t="str">
        <f>IFERROR(VLOOKUP($B38,テーブル1[[ソフトウェア]:[製品ベンダサイト（セキュリティアドバイザリ等）]],2,0),"")</f>
        <v/>
      </c>
      <c r="D38" s="114" t="str">
        <f>HYPERLINK(IFERROR(VLOOKUP($B38,テーブル1[[ソフトウェア]:[製品ベンダサイト（セキュリティアドバイザリ等）]],3,0),""))</f>
        <v/>
      </c>
      <c r="E38" s="114" t="str">
        <f>HYPERLINK(IFERROR(VLOOKUP($B38,テーブル1[[ソフトウェア]:[製品ベンダサイト（セキュリティアドバイザリ等）]],4,0),""))</f>
        <v/>
      </c>
      <c r="F38" s="114" t="str">
        <f>HYPERLINK(IFERROR(VLOOKUP($B38,テーブル1[[ソフトウェア]:[製品ベンダサイト（セキュリティアドバイザリ等）]],5,0),""))</f>
        <v/>
      </c>
    </row>
    <row r="39" spans="1:6">
      <c r="A39" s="92">
        <f t="shared" si="1"/>
        <v>36</v>
      </c>
      <c r="B39" s="103"/>
      <c r="C39" s="94" t="str">
        <f>IFERROR(VLOOKUP($B39,テーブル1[[ソフトウェア]:[製品ベンダサイト（セキュリティアドバイザリ等）]],2,0),"")</f>
        <v/>
      </c>
      <c r="D39" s="114" t="str">
        <f>HYPERLINK(IFERROR(VLOOKUP($B39,テーブル1[[ソフトウェア]:[製品ベンダサイト（セキュリティアドバイザリ等）]],3,0),""))</f>
        <v/>
      </c>
      <c r="E39" s="114" t="str">
        <f>HYPERLINK(IFERROR(VLOOKUP($B39,テーブル1[[ソフトウェア]:[製品ベンダサイト（セキュリティアドバイザリ等）]],4,0),""))</f>
        <v/>
      </c>
      <c r="F39" s="114" t="str">
        <f>HYPERLINK(IFERROR(VLOOKUP($B39,テーブル1[[ソフトウェア]:[製品ベンダサイト（セキュリティアドバイザリ等）]],5,0),""))</f>
        <v/>
      </c>
    </row>
    <row r="40" spans="1:6">
      <c r="A40" s="92">
        <f t="shared" si="1"/>
        <v>37</v>
      </c>
      <c r="B40" s="103"/>
      <c r="C40" s="94" t="str">
        <f>IFERROR(VLOOKUP($B40,テーブル1[[ソフトウェア]:[製品ベンダサイト（セキュリティアドバイザリ等）]],2,0),"")</f>
        <v/>
      </c>
      <c r="D40" s="114" t="str">
        <f>HYPERLINK(IFERROR(VLOOKUP($B40,テーブル1[[ソフトウェア]:[製品ベンダサイト（セキュリティアドバイザリ等）]],3,0),""))</f>
        <v/>
      </c>
      <c r="E40" s="114" t="str">
        <f>HYPERLINK(IFERROR(VLOOKUP($B40,テーブル1[[ソフトウェア]:[製品ベンダサイト（セキュリティアドバイザリ等）]],4,0),""))</f>
        <v/>
      </c>
      <c r="F40" s="114" t="str">
        <f>HYPERLINK(IFERROR(VLOOKUP($B40,テーブル1[[ソフトウェア]:[製品ベンダサイト（セキュリティアドバイザリ等）]],5,0),""))</f>
        <v/>
      </c>
    </row>
    <row r="41" spans="1:6">
      <c r="A41" s="92">
        <f t="shared" si="1"/>
        <v>38</v>
      </c>
      <c r="B41" s="103"/>
      <c r="C41" s="94" t="str">
        <f>IFERROR(VLOOKUP($B41,テーブル1[[ソフトウェア]:[製品ベンダサイト（セキュリティアドバイザリ等）]],2,0),"")</f>
        <v/>
      </c>
      <c r="D41" s="114" t="str">
        <f>HYPERLINK(IFERROR(VLOOKUP($B41,テーブル1[[ソフトウェア]:[製品ベンダサイト（セキュリティアドバイザリ等）]],3,0),""))</f>
        <v/>
      </c>
      <c r="E41" s="114" t="str">
        <f>HYPERLINK(IFERROR(VLOOKUP($B41,テーブル1[[ソフトウェア]:[製品ベンダサイト（セキュリティアドバイザリ等）]],4,0),""))</f>
        <v/>
      </c>
      <c r="F41" s="114" t="str">
        <f>HYPERLINK(IFERROR(VLOOKUP($B41,テーブル1[[ソフトウェア]:[製品ベンダサイト（セキュリティアドバイザリ等）]],5,0),""))</f>
        <v/>
      </c>
    </row>
    <row r="42" spans="1:6">
      <c r="A42" s="92">
        <f t="shared" si="1"/>
        <v>39</v>
      </c>
      <c r="B42" s="103"/>
      <c r="C42" s="94" t="str">
        <f>IFERROR(VLOOKUP($B42,テーブル1[[ソフトウェア]:[製品ベンダサイト（セキュリティアドバイザリ等）]],2,0),"")</f>
        <v/>
      </c>
      <c r="D42" s="114" t="str">
        <f>HYPERLINK(IFERROR(VLOOKUP($B42,テーブル1[[ソフトウェア]:[製品ベンダサイト（セキュリティアドバイザリ等）]],3,0),""))</f>
        <v/>
      </c>
      <c r="E42" s="114" t="str">
        <f>HYPERLINK(IFERROR(VLOOKUP($B42,テーブル1[[ソフトウェア]:[製品ベンダサイト（セキュリティアドバイザリ等）]],4,0),""))</f>
        <v/>
      </c>
      <c r="F42" s="114" t="str">
        <f>HYPERLINK(IFERROR(VLOOKUP($B42,テーブル1[[ソフトウェア]:[製品ベンダサイト（セキュリティアドバイザリ等）]],5,0),""))</f>
        <v/>
      </c>
    </row>
    <row r="43" spans="1:6">
      <c r="A43" s="92">
        <f t="shared" si="1"/>
        <v>40</v>
      </c>
      <c r="B43" s="103"/>
      <c r="C43" s="94" t="str">
        <f>IFERROR(VLOOKUP($B43,テーブル1[[ソフトウェア]:[製品ベンダサイト（セキュリティアドバイザリ等）]],2,0),"")</f>
        <v/>
      </c>
      <c r="D43" s="114" t="str">
        <f>HYPERLINK(IFERROR(VLOOKUP($B43,テーブル1[[ソフトウェア]:[製品ベンダサイト（セキュリティアドバイザリ等）]],3,0),""))</f>
        <v/>
      </c>
      <c r="E43" s="114" t="str">
        <f>HYPERLINK(IFERROR(VLOOKUP($B43,テーブル1[[ソフトウェア]:[製品ベンダサイト（セキュリティアドバイザリ等）]],4,0),""))</f>
        <v/>
      </c>
      <c r="F43" s="114" t="str">
        <f>HYPERLINK(IFERROR(VLOOKUP($B43,テーブル1[[ソフトウェア]:[製品ベンダサイト（セキュリティアドバイザリ等）]],5,0),""))</f>
        <v/>
      </c>
    </row>
    <row r="44" spans="1:6">
      <c r="A44" s="92">
        <f t="shared" si="1"/>
        <v>41</v>
      </c>
      <c r="B44" s="103"/>
      <c r="C44" s="94" t="str">
        <f>IFERROR(VLOOKUP($B44,テーブル1[[ソフトウェア]:[製品ベンダサイト（セキュリティアドバイザリ等）]],2,0),"")</f>
        <v/>
      </c>
      <c r="D44" s="114" t="str">
        <f>HYPERLINK(IFERROR(VLOOKUP($B44,テーブル1[[ソフトウェア]:[製品ベンダサイト（セキュリティアドバイザリ等）]],3,0),""))</f>
        <v/>
      </c>
      <c r="E44" s="114" t="str">
        <f>HYPERLINK(IFERROR(VLOOKUP($B44,テーブル1[[ソフトウェア]:[製品ベンダサイト（セキュリティアドバイザリ等）]],4,0),""))</f>
        <v/>
      </c>
      <c r="F44" s="114" t="str">
        <f>HYPERLINK(IFERROR(VLOOKUP($B44,テーブル1[[ソフトウェア]:[製品ベンダサイト（セキュリティアドバイザリ等）]],5,0),""))</f>
        <v/>
      </c>
    </row>
    <row r="45" spans="1:6">
      <c r="A45" s="92">
        <f t="shared" si="1"/>
        <v>42</v>
      </c>
      <c r="B45" s="103"/>
      <c r="C45" s="94" t="str">
        <f>IFERROR(VLOOKUP($B45,テーブル1[[ソフトウェア]:[製品ベンダサイト（セキュリティアドバイザリ等）]],2,0),"")</f>
        <v/>
      </c>
      <c r="D45" s="114" t="str">
        <f>HYPERLINK(IFERROR(VLOOKUP($B45,テーブル1[[ソフトウェア]:[製品ベンダサイト（セキュリティアドバイザリ等）]],3,0),""))</f>
        <v/>
      </c>
      <c r="E45" s="114" t="str">
        <f>HYPERLINK(IFERROR(VLOOKUP($B45,テーブル1[[ソフトウェア]:[製品ベンダサイト（セキュリティアドバイザリ等）]],4,0),""))</f>
        <v/>
      </c>
      <c r="F45" s="114" t="str">
        <f>HYPERLINK(IFERROR(VLOOKUP($B45,テーブル1[[ソフトウェア]:[製品ベンダサイト（セキュリティアドバイザリ等）]],5,0),""))</f>
        <v/>
      </c>
    </row>
    <row r="46" spans="1:6">
      <c r="A46" s="92">
        <f t="shared" si="1"/>
        <v>43</v>
      </c>
      <c r="B46" s="103"/>
      <c r="C46" s="94" t="str">
        <f>IFERROR(VLOOKUP($B46,テーブル1[[ソフトウェア]:[製品ベンダサイト（セキュリティアドバイザリ等）]],2,0),"")</f>
        <v/>
      </c>
      <c r="D46" s="114" t="str">
        <f>HYPERLINK(IFERROR(VLOOKUP($B46,テーブル1[[ソフトウェア]:[製品ベンダサイト（セキュリティアドバイザリ等）]],3,0),""))</f>
        <v/>
      </c>
      <c r="E46" s="114" t="str">
        <f>HYPERLINK(IFERROR(VLOOKUP($B46,テーブル1[[ソフトウェア]:[製品ベンダサイト（セキュリティアドバイザリ等）]],4,0),""))</f>
        <v/>
      </c>
      <c r="F46" s="114" t="str">
        <f>HYPERLINK(IFERROR(VLOOKUP($B46,テーブル1[[ソフトウェア]:[製品ベンダサイト（セキュリティアドバイザリ等）]],5,0),""))</f>
        <v/>
      </c>
    </row>
    <row r="47" spans="1:6">
      <c r="A47" s="92">
        <f t="shared" si="1"/>
        <v>44</v>
      </c>
      <c r="B47" s="103"/>
      <c r="C47" s="94" t="str">
        <f>IFERROR(VLOOKUP($B47,テーブル1[[ソフトウェア]:[製品ベンダサイト（セキュリティアドバイザリ等）]],2,0),"")</f>
        <v/>
      </c>
      <c r="D47" s="114" t="str">
        <f>HYPERLINK(IFERROR(VLOOKUP($B47,テーブル1[[ソフトウェア]:[製品ベンダサイト（セキュリティアドバイザリ等）]],3,0),""))</f>
        <v/>
      </c>
      <c r="E47" s="114" t="str">
        <f>HYPERLINK(IFERROR(VLOOKUP($B47,テーブル1[[ソフトウェア]:[製品ベンダサイト（セキュリティアドバイザリ等）]],4,0),""))</f>
        <v/>
      </c>
      <c r="F47" s="114" t="str">
        <f>HYPERLINK(IFERROR(VLOOKUP($B47,テーブル1[[ソフトウェア]:[製品ベンダサイト（セキュリティアドバイザリ等）]],5,0),""))</f>
        <v/>
      </c>
    </row>
    <row r="48" spans="1:6">
      <c r="A48" s="21">
        <f t="shared" si="1"/>
        <v>45</v>
      </c>
      <c r="B48" s="103"/>
      <c r="C48" s="94" t="str">
        <f>IFERROR(VLOOKUP($B48,テーブル1[[ソフトウェア]:[製品ベンダサイト（セキュリティアドバイザリ等）]],2,0),"")</f>
        <v/>
      </c>
      <c r="D48" s="114" t="str">
        <f>HYPERLINK(IFERROR(VLOOKUP($B48,テーブル1[[ソフトウェア]:[製品ベンダサイト（セキュリティアドバイザリ等）]],3,0),""))</f>
        <v/>
      </c>
      <c r="E48" s="114" t="str">
        <f>HYPERLINK(IFERROR(VLOOKUP($B48,テーブル1[[ソフトウェア]:[製品ベンダサイト（セキュリティアドバイザリ等）]],4,0),""))</f>
        <v/>
      </c>
      <c r="F48" s="114" t="str">
        <f>HYPERLINK(IFERROR(VLOOKUP($B48,テーブル1[[ソフトウェア]:[製品ベンダサイト（セキュリティアドバイザリ等）]],5,0),""))</f>
        <v/>
      </c>
    </row>
    <row r="49" spans="1:6">
      <c r="A49" s="21">
        <f t="shared" si="1"/>
        <v>46</v>
      </c>
      <c r="B49" s="103"/>
      <c r="C49" s="94" t="str">
        <f>IFERROR(VLOOKUP($B49,テーブル1[[ソフトウェア]:[製品ベンダサイト（セキュリティアドバイザリ等）]],2,0),"")</f>
        <v/>
      </c>
      <c r="D49" s="114" t="str">
        <f>HYPERLINK(IFERROR(VLOOKUP($B49,テーブル1[[ソフトウェア]:[製品ベンダサイト（セキュリティアドバイザリ等）]],3,0),""))</f>
        <v/>
      </c>
      <c r="E49" s="114" t="str">
        <f>HYPERLINK(IFERROR(VLOOKUP($B49,テーブル1[[ソフトウェア]:[製品ベンダサイト（セキュリティアドバイザリ等）]],4,0),""))</f>
        <v/>
      </c>
      <c r="F49" s="114" t="str">
        <f>HYPERLINK(IFERROR(VLOOKUP($B49,テーブル1[[ソフトウェア]:[製品ベンダサイト（セキュリティアドバイザリ等）]],5,0),""))</f>
        <v/>
      </c>
    </row>
    <row r="50" spans="1:6">
      <c r="A50" s="21">
        <f t="shared" si="1"/>
        <v>47</v>
      </c>
      <c r="B50" s="103"/>
      <c r="C50" s="94" t="str">
        <f>IFERROR(VLOOKUP($B50,テーブル1[[ソフトウェア]:[製品ベンダサイト（セキュリティアドバイザリ等）]],2,0),"")</f>
        <v/>
      </c>
      <c r="D50" s="114" t="str">
        <f>HYPERLINK(IFERROR(VLOOKUP($B50,テーブル1[[ソフトウェア]:[製品ベンダサイト（セキュリティアドバイザリ等）]],3,0),""))</f>
        <v/>
      </c>
      <c r="E50" s="114" t="str">
        <f>HYPERLINK(IFERROR(VLOOKUP($B50,テーブル1[[ソフトウェア]:[製品ベンダサイト（セキュリティアドバイザリ等）]],4,0),""))</f>
        <v/>
      </c>
      <c r="F50" s="114" t="str">
        <f>HYPERLINK(IFERROR(VLOOKUP($B50,テーブル1[[ソフトウェア]:[製品ベンダサイト（セキュリティアドバイザリ等）]],5,0),""))</f>
        <v/>
      </c>
    </row>
    <row r="51" spans="1:6">
      <c r="A51" s="21">
        <f t="shared" si="1"/>
        <v>48</v>
      </c>
      <c r="B51" s="103"/>
      <c r="C51" s="94" t="str">
        <f>IFERROR(VLOOKUP($B51,テーブル1[[ソフトウェア]:[製品ベンダサイト（セキュリティアドバイザリ等）]],2,0),"")</f>
        <v/>
      </c>
      <c r="D51" s="114" t="str">
        <f>HYPERLINK(IFERROR(VLOOKUP($B51,テーブル1[[ソフトウェア]:[製品ベンダサイト（セキュリティアドバイザリ等）]],3,0),""))</f>
        <v/>
      </c>
      <c r="E51" s="114" t="str">
        <f>HYPERLINK(IFERROR(VLOOKUP($B51,テーブル1[[ソフトウェア]:[製品ベンダサイト（セキュリティアドバイザリ等）]],4,0),""))</f>
        <v/>
      </c>
      <c r="F51" s="114" t="str">
        <f>HYPERLINK(IFERROR(VLOOKUP($B51,テーブル1[[ソフトウェア]:[製品ベンダサイト（セキュリティアドバイザリ等）]],5,0),""))</f>
        <v/>
      </c>
    </row>
    <row r="52" spans="1:6">
      <c r="A52" s="21">
        <f t="shared" si="1"/>
        <v>49</v>
      </c>
      <c r="B52" s="103"/>
      <c r="C52" s="94" t="str">
        <f>IFERROR(VLOOKUP($B52,テーブル1[[ソフトウェア]:[製品ベンダサイト（セキュリティアドバイザリ等）]],2,0),"")</f>
        <v/>
      </c>
      <c r="D52" s="114" t="str">
        <f>HYPERLINK(IFERROR(VLOOKUP($B52,テーブル1[[ソフトウェア]:[製品ベンダサイト（セキュリティアドバイザリ等）]],3,0),""))</f>
        <v/>
      </c>
      <c r="E52" s="114" t="str">
        <f>HYPERLINK(IFERROR(VLOOKUP($B52,テーブル1[[ソフトウェア]:[製品ベンダサイト（セキュリティアドバイザリ等）]],4,0),""))</f>
        <v/>
      </c>
      <c r="F52" s="114" t="str">
        <f>HYPERLINK(IFERROR(VLOOKUP($B52,テーブル1[[ソフトウェア]:[製品ベンダサイト（セキュリティアドバイザリ等）]],5,0),""))</f>
        <v/>
      </c>
    </row>
    <row r="53" spans="1:6">
      <c r="A53" s="21">
        <f t="shared" si="1"/>
        <v>50</v>
      </c>
      <c r="B53" s="103"/>
      <c r="C53" s="94" t="str">
        <f>IFERROR(VLOOKUP($B53,テーブル1[[ソフトウェア]:[製品ベンダサイト（セキュリティアドバイザリ等）]],2,0),"")</f>
        <v/>
      </c>
      <c r="D53" s="114" t="str">
        <f>HYPERLINK(IFERROR(VLOOKUP($B53,テーブル1[[ソフトウェア]:[製品ベンダサイト（セキュリティアドバイザリ等）]],3,0),""))</f>
        <v/>
      </c>
      <c r="E53" s="114" t="str">
        <f>HYPERLINK(IFERROR(VLOOKUP($B53,テーブル1[[ソフトウェア]:[製品ベンダサイト（セキュリティアドバイザリ等）]],4,0),""))</f>
        <v/>
      </c>
      <c r="F53" s="114" t="str">
        <f>HYPERLINK(IFERROR(VLOOKUP($B53,テーブル1[[ソフトウェア]:[製品ベンダサイト（セキュリティアドバイザリ等）]],5,0),""))</f>
        <v/>
      </c>
    </row>
  </sheetData>
  <phoneticPr fontId="1"/>
  <pageMargins left="0.70866141732283472" right="0.70866141732283472" top="0.74803149606299213" bottom="0.74803149606299213" header="0.31496062992125984" footer="0.31496062992125984"/>
  <pageSetup paperSize="9" scale="44" fitToHeight="0"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xr:uid="{C75986FD-2F1C-4D83-BA34-E17C57E01EC4}">
          <x14:formula1>
            <xm:f>OFFSET(よく使われるソフトウェア一覧!$B$4,,,COUNTA(よく使われるソフトウェア一覧!$B$4:$B$1048576))</xm:f>
          </x14:formula1>
          <xm:sqref>B4:B53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0AADF-6C0D-4050-999D-D71D79B7E5DE}">
  <sheetPr codeName="Sheet5">
    <tabColor theme="9" tint="0.59999389629810485"/>
    <pageSetUpPr fitToPage="1"/>
  </sheetPr>
  <dimension ref="A1:G53"/>
  <sheetViews>
    <sheetView showGridLines="0" showRuler="0" showWhiteSpace="0" zoomScaleNormal="100" workbookViewId="0">
      <selection activeCell="A2" sqref="A2"/>
    </sheetView>
  </sheetViews>
  <sheetFormatPr defaultColWidth="10.625" defaultRowHeight="18.75"/>
  <cols>
    <col min="1" max="1" width="4.875" style="36" customWidth="1"/>
    <col min="2" max="2" width="34.875" style="136" customWidth="1"/>
    <col min="3" max="3" width="34.75" style="137" customWidth="1"/>
    <col min="4" max="4" width="25.625" style="63" bestFit="1" customWidth="1"/>
    <col min="5" max="5" width="33.375" style="138" customWidth="1"/>
    <col min="6" max="6" width="25.625" style="64" bestFit="1" customWidth="1"/>
    <col min="7" max="7" width="21.375" style="62" customWidth="1"/>
  </cols>
  <sheetData>
    <row r="1" spans="1:7" ht="19.5">
      <c r="A1" s="1" t="s">
        <v>274</v>
      </c>
      <c r="B1" s="2"/>
      <c r="C1" s="2"/>
      <c r="D1" s="2"/>
      <c r="E1" s="2"/>
      <c r="F1" s="2"/>
      <c r="G1" s="2"/>
    </row>
    <row r="2" spans="1:7">
      <c r="A2" s="4"/>
      <c r="B2" s="5"/>
      <c r="C2" s="6"/>
      <c r="D2" s="6"/>
      <c r="E2" s="6"/>
      <c r="F2" s="6"/>
      <c r="G2" s="6"/>
    </row>
    <row r="3" spans="1:7" ht="28.5">
      <c r="A3" s="105" t="s">
        <v>3</v>
      </c>
      <c r="B3" s="111" t="s">
        <v>15</v>
      </c>
      <c r="C3" s="108" t="s">
        <v>133</v>
      </c>
      <c r="D3" s="111" t="s">
        <v>261</v>
      </c>
      <c r="E3" s="108" t="s">
        <v>135</v>
      </c>
      <c r="F3" s="112" t="s">
        <v>2</v>
      </c>
      <c r="G3" s="113" t="s">
        <v>136</v>
      </c>
    </row>
    <row r="4" spans="1:7" ht="51">
      <c r="A4" s="92">
        <f t="shared" ref="A4:A35" si="0">ROW()-3</f>
        <v>1</v>
      </c>
      <c r="B4" s="93" t="str">
        <f>VLOOKUP($A4,テーブル11[],2)&amp;""</f>
        <v>Windows 10 Version 2004</v>
      </c>
      <c r="C4" s="94" t="str">
        <f>IFERROR(VLOOKUP($B4,テーブル11[[ソフトウェア]:[製品ベンダサイト（セキュリティアドバイザリ等）]],2,0),"")</f>
        <v>①キーボードの「Windows」キーを押しながら「R」キーを押します。
②「ファイル名を指定して実行」の「名前」欄に「winver」と入力し、「OK」をクリックします。</v>
      </c>
      <c r="D4" s="97" t="s">
        <v>344</v>
      </c>
      <c r="E4" s="114" t="str">
        <f>HYPERLINK(IFERROR(VLOOKUP($B4,テーブル11[[ソフトウェア]:[製品ベンダサイト（セキュリティアドバイザリ等）]],3,0),""))</f>
        <v>https://support.microsoft.com/en-us/help/4555932</v>
      </c>
      <c r="F4" s="95" t="s">
        <v>345</v>
      </c>
      <c r="G4" s="96">
        <v>44082</v>
      </c>
    </row>
    <row r="5" spans="1:7" ht="63.75">
      <c r="A5" s="92">
        <f t="shared" si="0"/>
        <v>2</v>
      </c>
      <c r="B5" s="93" t="str">
        <f>VLOOKUP($A5,テーブル11[],2)&amp;""</f>
        <v>Adobe Acrobat Reader DC</v>
      </c>
      <c r="C5" s="94" t="str">
        <f>IFERROR(VLOOKUP($B5,テーブル11[[ソフトウェア]:[製品ベンダサイト（セキュリティアドバイザリ等）]],2,0),"")</f>
        <v>①キーボードの「Windows」キーを押しながら「R」キーを押します。
②オプションの「名前」欄に「appwiz.cpl」(Win8.1)または「ms-settings:appsfeatures」(Win10)と入力し、「OK」をクリックします。</v>
      </c>
      <c r="D5" s="95" t="s">
        <v>346</v>
      </c>
      <c r="E5" s="114" t="str">
        <f>HYPERLINK(IFERROR(VLOOKUP($B5,テーブル11[[ソフトウェア]:[製品ベンダサイト（セキュリティアドバイザリ等）]],3,0),""))</f>
        <v>https://www.adobe.com/devnet-docs/acrobatetk/tools/ReleaseNotesDC/index.html</v>
      </c>
      <c r="F5" s="95" t="s">
        <v>290</v>
      </c>
      <c r="G5" s="96">
        <v>44062</v>
      </c>
    </row>
    <row r="6" spans="1:7" ht="63.75">
      <c r="A6" s="92">
        <f t="shared" si="0"/>
        <v>3</v>
      </c>
      <c r="B6" s="93" t="str">
        <f>VLOOKUP($A6,テーブル11[],2)&amp;""</f>
        <v>Adobe AIR</v>
      </c>
      <c r="C6" s="94" t="str">
        <f>IFERROR(VLOOKUP($B6,テーブル11[[ソフトウェア]:[製品ベンダサイト（セキュリティアドバイザリ等）]],2,0),"")</f>
        <v>①キーボードの「Windows」キーを押しながら「R」キーを押します。
②オプションの「名前」欄に「appwiz.cpl」(Win8.1)または「ms-settings:appsfeatures」(Win10)と入力し、「OK」をクリックします。</v>
      </c>
      <c r="D6" s="95" t="s">
        <v>347</v>
      </c>
      <c r="E6" s="114" t="str">
        <f>HYPERLINK(IFERROR(VLOOKUP($B6,テーブル11[[ソフトウェア]:[製品ベンダサイト（セキュリティアドバイザリ等）]],3,0),""))</f>
        <v>https://helpx.adobe.com/flash-player/release-note/fp_32_air_32_release_notes.html#released_versions</v>
      </c>
      <c r="F6" s="97" t="s">
        <v>291</v>
      </c>
      <c r="G6" s="96">
        <v>43946</v>
      </c>
    </row>
    <row r="7" spans="1:7" ht="63.75">
      <c r="A7" s="92">
        <f t="shared" si="0"/>
        <v>4</v>
      </c>
      <c r="B7" s="93" t="str">
        <f>VLOOKUP($A7,テーブル11[],2)&amp;""</f>
        <v>Adobe Flash Player（AcitveX）</v>
      </c>
      <c r="C7" s="94" t="str">
        <f>IFERROR(VLOOKUP($B7,テーブル11[[ソフトウェア]:[製品ベンダサイト（セキュリティアドバイザリ等）]],2,0),"")</f>
        <v>①Internet Explorerを起動します。
②右上の「ツール（歯車アイコン）」から「アドオンの管理」をクリックします。
③「ツールバーと拡張機能」にある「Shockwave Flash Object」をクリックします。</v>
      </c>
      <c r="D7" s="97" t="s">
        <v>292</v>
      </c>
      <c r="E7" s="114" t="str">
        <f>HYPERLINK(IFERROR(VLOOKUP($B7,テーブル11[[ソフトウェア]:[製品ベンダサイト（セキュリティアドバイザリ等）]],3,0),""))</f>
        <v>https://helpx.adobe.com/flash-player/release-note/fp_32_air_32_release_notes.html#released_versions</v>
      </c>
      <c r="F7" s="97" t="s">
        <v>292</v>
      </c>
      <c r="G7" s="96">
        <v>44054</v>
      </c>
    </row>
    <row r="8" spans="1:7" ht="76.5">
      <c r="A8" s="92">
        <f t="shared" si="0"/>
        <v>5</v>
      </c>
      <c r="B8" s="93" t="str">
        <f>VLOOKUP($A8,テーブル11[],2)&amp;""</f>
        <v>Google Chrome</v>
      </c>
      <c r="C8" s="94" t="str">
        <f>IFERROR(VLOOKUP($B8,テーブル11[[ソフトウェア]:[製品ベンダサイト（セキュリティアドバイザリ等）]],2,0),"")</f>
        <v>①キーボードの「Windows」キーを押しながら「R」キーを押します。
②「ファイル名を指定して実行」の「名前」欄に「appwiz.cpl」(Win8.1)または「ms-settings:appsfeatures」(Win10)と入力し、「OK」をクリックします。</v>
      </c>
      <c r="D8" s="97" t="s">
        <v>322</v>
      </c>
      <c r="E8" s="114" t="str">
        <f>HYPERLINK(IFERROR(VLOOKUP($B8,テーブル11[[ソフトウェア]:[製品ベンダサイト（セキュリティアドバイザリ等）]],3,0),""))</f>
        <v>https://chromiumdash.appspot.com/releases?platform=Windows</v>
      </c>
      <c r="F8" s="97" t="s">
        <v>322</v>
      </c>
      <c r="G8" s="96">
        <v>44082</v>
      </c>
    </row>
    <row r="9" spans="1:7" ht="25.5">
      <c r="A9" s="92">
        <f t="shared" si="0"/>
        <v>6</v>
      </c>
      <c r="B9" s="93" t="str">
        <f>VLOOKUP($A9,テーブル11[],2)&amp;""</f>
        <v>iLogScanner（オフライン版）</v>
      </c>
      <c r="C9" s="94" t="str">
        <f>IFERROR(VLOOKUP($B9,テーブル11[[ソフトウェア]:[製品ベンダサイト（セキュリティアドバイザリ等）]],2,0),"")</f>
        <v>①iLogScanner（オフライン版）を起動します。
②ウインドウに表示される（v【x.x】）を確認します。</v>
      </c>
      <c r="D9" s="97" t="s">
        <v>293</v>
      </c>
      <c r="E9" s="114" t="str">
        <f>HYPERLINK(IFERROR(VLOOKUP($B9,テーブル11[[ソフトウェア]:[製品ベンダサイト（セキュリティアドバイザリ等）]],3,0),""))</f>
        <v>https://www.ipa.go.jp/security/vuln/iLogScanner/</v>
      </c>
      <c r="F9" s="97" t="s">
        <v>293</v>
      </c>
      <c r="G9" s="96">
        <v>41957</v>
      </c>
    </row>
    <row r="10" spans="1:7" ht="76.5">
      <c r="A10" s="92">
        <f t="shared" si="0"/>
        <v>7</v>
      </c>
      <c r="B10" s="93" t="str">
        <f>VLOOKUP($A10,テーブル11[],2)&amp;""</f>
        <v>Java 8 Update</v>
      </c>
      <c r="C10" s="94" t="str">
        <f>IFERROR(VLOOKUP($B10,テーブル11[[ソフトウェア]:[製品ベンダサイト（セキュリティアドバイザリ等）]],2,0),"")</f>
        <v>①キーボードの「Windows」キーを押しながら「R」キーを押します。
②「ファイル名を指定して実行」の「名前」欄に「appwiz.cpl」(Win8.1)または「ms-settings:appsfeatures」(Win10)と入力し、「OK」をクリックします。</v>
      </c>
      <c r="D10" s="98" t="s">
        <v>294</v>
      </c>
      <c r="E10" s="114" t="str">
        <f>HYPERLINK(IFERROR(VLOOKUP($B10,テーブル11[[ソフトウェア]:[製品ベンダサイト（セキュリティアドバイザリ等）]],3,0),""))</f>
        <v>https://www.oracle.com/java/technologies/javase/8u-relnotes.html</v>
      </c>
      <c r="F10" s="98" t="s">
        <v>294</v>
      </c>
      <c r="G10" s="99">
        <v>44026</v>
      </c>
    </row>
    <row r="11" spans="1:7" ht="76.5">
      <c r="A11" s="92">
        <f t="shared" si="0"/>
        <v>8</v>
      </c>
      <c r="B11" s="93" t="str">
        <f>VLOOKUP($A11,テーブル11[],2)&amp;""</f>
        <v>Microsoft Edge</v>
      </c>
      <c r="C11" s="94" t="str">
        <f>IFERROR(VLOOKUP($B11,テーブル11[[ソフトウェア]:[製品ベンダサイト（セキュリティアドバイザリ等）]],2,0),"")</f>
        <v>①キーボードの「Windows」キーを押しながら「R」キーを押します。
②「ファイル名を指定して実行」の「名前」欄に「appwiz.cpl」(Win8.1)または「ms-settings:appsfeatures」(Win10)と入力し、「OK」をクリックします。</v>
      </c>
      <c r="D11" s="95" t="s">
        <v>326</v>
      </c>
      <c r="E11" s="114" t="str">
        <f>HYPERLINK(IFERROR(VLOOKUP($B11,テーブル11[[ソフトウェア]:[製品ベンダサイト（セキュリティアドバイザリ等）]],3,0),""))</f>
        <v>https://docs.microsoft.com/en-us/DeployEdge/microsoft-edge-relnote-stable-channel</v>
      </c>
      <c r="F11" s="95" t="s">
        <v>325</v>
      </c>
      <c r="G11" s="96">
        <v>44083</v>
      </c>
    </row>
    <row r="12" spans="1:7" ht="76.5">
      <c r="A12" s="92">
        <f t="shared" si="0"/>
        <v>9</v>
      </c>
      <c r="B12" s="93" t="str">
        <f>VLOOKUP($A12,テーブル11[],2)&amp;""</f>
        <v>mjcheck3</v>
      </c>
      <c r="C12" s="94" t="str">
        <f>IFERROR(VLOOKUP($B12,テーブル11[[ソフトウェア]:[製品ベンダサイト（セキュリティアドバイザリ等）]],2,0),"")</f>
        <v>①キーボードの「Windows」キーを押しながら「R」キーを押します。
②「ファイル名を指定して実行」の「名前」欄に「appwiz.cpl」(Win8.1)または「ms-settings:appsfeatures」(Win10)と入力し、「OK」をクリックします。</v>
      </c>
      <c r="D12" s="95" t="s">
        <v>295</v>
      </c>
      <c r="E12" s="114" t="str">
        <f>HYPERLINK(IFERROR(VLOOKUP($B12,テーブル11[[ソフトウェア]:[製品ベンダサイト（セキュリティアドバイザリ等）]],3,0),""))</f>
        <v>https://jvndb.jvn.jp/apis/myjvn/mjcheck3.html</v>
      </c>
      <c r="F12" s="95" t="s">
        <v>295</v>
      </c>
      <c r="G12" s="99">
        <v>43187</v>
      </c>
    </row>
    <row r="13" spans="1:7" ht="76.5">
      <c r="A13" s="92">
        <f t="shared" si="0"/>
        <v>10</v>
      </c>
      <c r="B13" s="93" t="str">
        <f>VLOOKUP($A13,テーブル11[],2)&amp;""</f>
        <v>Mozilla Firefox_ESR</v>
      </c>
      <c r="C13" s="94" t="str">
        <f>IFERROR(VLOOKUP($B13,テーブル11[[ソフトウェア]:[製品ベンダサイト（セキュリティアドバイザリ等）]],2,0),"")</f>
        <v>①キーボードの「Windows」キーを押しながら「R」キーを押します。
②「ファイル名を指定して実行」の「名前」欄に「appwiz.cpl」(Win8.1)または「ms-settings:appsfeatures」(Win10)と入力し、「OK」をクリックします。</v>
      </c>
      <c r="D13" s="95" t="s">
        <v>296</v>
      </c>
      <c r="E13" s="114" t="str">
        <f>HYPERLINK(IFERROR(VLOOKUP($B13,テーブル11[[ソフトウェア]:[製品ベンダサイト（セキュリティアドバイザリ等）]],3,0),""))</f>
        <v>https://www.mozilla.org/en-US/firefox/releases/</v>
      </c>
      <c r="F13" s="95" t="s">
        <v>296</v>
      </c>
      <c r="G13" s="96">
        <v>44068</v>
      </c>
    </row>
    <row r="14" spans="1:7" ht="76.5">
      <c r="A14" s="92">
        <f t="shared" si="0"/>
        <v>11</v>
      </c>
      <c r="B14" s="93" t="str">
        <f>VLOOKUP($A14,テーブル11[],2)&amp;""</f>
        <v>Mozilla Thunderbird</v>
      </c>
      <c r="C14" s="94" t="str">
        <f>IFERROR(VLOOKUP($B14,テーブル11[[ソフトウェア]:[製品ベンダサイト（セキュリティアドバイザリ等）]],2,0),"")</f>
        <v>①キーボードの「Windows」キーを押しながら「R」キーを押します。
②「ファイル名を指定して実行」の「名前」欄に「appwiz.cpl」(Win8.1)または「ms-settings:appsfeatures」(Win10)と入力し、「OK」をクリックします。</v>
      </c>
      <c r="D14" s="95" t="s">
        <v>296</v>
      </c>
      <c r="E14" s="114" t="str">
        <f>HYPERLINK(IFERROR(VLOOKUP($B14,テーブル11[[ソフトウェア]:[製品ベンダサイト（セキュリティアドバイザリ等）]],3,0),""))</f>
        <v>https://www.mozilla.org/en-US/thunderbird/releases/</v>
      </c>
      <c r="F14" s="95" t="s">
        <v>296</v>
      </c>
      <c r="G14" s="96">
        <v>44068</v>
      </c>
    </row>
    <row r="15" spans="1:7" ht="38.25">
      <c r="A15" s="92">
        <f t="shared" si="0"/>
        <v>12</v>
      </c>
      <c r="B15" s="93" t="str">
        <f>VLOOKUP($A15,テーブル11[],2)&amp;""</f>
        <v>MyJVNバージョンチェッカ for .NET</v>
      </c>
      <c r="C15" s="94" t="str">
        <f>IFERROR(VLOOKUP($B15,テーブル11[[ソフトウェア]:[製品ベンダサイト（セキュリティアドバイザリ等）]],2,0),"")</f>
        <v>①MyJVNバージョンチェッカ for .NETを起動します。
②ウインドウに表示される（v【x.x】）を確認します。</v>
      </c>
      <c r="D15" s="98" t="s">
        <v>321</v>
      </c>
      <c r="E15" s="114" t="str">
        <f>HYPERLINK(IFERROR(VLOOKUP($B15,テーブル11[[ソフトウェア]:[製品ベンダサイト（セキュリティアドバイザリ等）]],3,0),""))</f>
        <v>https://jvndb.jvn.jp/apis/myjvn/vccheckdotnet.html</v>
      </c>
      <c r="F15" s="98" t="s">
        <v>321</v>
      </c>
      <c r="G15" s="96">
        <v>43851</v>
      </c>
    </row>
    <row r="16" spans="1:7" ht="76.5">
      <c r="A16" s="92">
        <f t="shared" si="0"/>
        <v>13</v>
      </c>
      <c r="B16" s="93" t="str">
        <f>VLOOKUP($A16,テーブル11[],2)&amp;""</f>
        <v>Tera Term</v>
      </c>
      <c r="C16" s="94" t="str">
        <f>IFERROR(VLOOKUP($B16,テーブル11[[ソフトウェア]:[製品ベンダサイト（セキュリティアドバイザリ等）]],2,0),"")</f>
        <v>①キーボードの「Windows」キーを押しながら「R」キーを押します。
②「ファイル名を指定して実行」の「名前」欄に「appwiz.cpl」(Win8.1)または「ms-settings:appsfeatures」(Win10)と入力し、「OK」をクリックします。</v>
      </c>
      <c r="D16" s="98" t="s">
        <v>297</v>
      </c>
      <c r="E16" s="114" t="str">
        <f>HYPERLINK(IFERROR(VLOOKUP($B16,テーブル11[[ソフトウェア]:[製品ベンダサイト（セキュリティアドバイザリ等）]],3,0),""))</f>
        <v>https://osdn.net/projects/ttssh2/releases/</v>
      </c>
      <c r="F16" s="98" t="s">
        <v>297</v>
      </c>
      <c r="G16" s="99">
        <v>43806</v>
      </c>
    </row>
    <row r="17" spans="1:7" ht="76.5">
      <c r="A17" s="92">
        <f t="shared" si="0"/>
        <v>14</v>
      </c>
      <c r="B17" s="93" t="str">
        <f>VLOOKUP($A17,テーブル11[],2)&amp;""</f>
        <v>VMware Workstation</v>
      </c>
      <c r="C17" s="94" t="str">
        <f>IFERROR(VLOOKUP($B17,テーブル11[[ソフトウェア]:[製品ベンダサイト（セキュリティアドバイザリ等）]],2,0),"")</f>
        <v>①キーボードの「Windows」キーを押しながら「R」キーを押します。
②「ファイル名を指定して実行」の「名前」欄に「appwiz.cpl」(Win8.1)または「ms-settings:appsfeatures」(Win10)と入力し、「OK」をクリックします。</v>
      </c>
      <c r="D17" s="97" t="s">
        <v>298</v>
      </c>
      <c r="E17" s="114" t="str">
        <f>HYPERLINK(IFERROR(VLOOKUP($B17,テーブル11[[ソフトウェア]:[製品ベンダサイト（セキュリティアドバイザリ等）]],3,0),""))</f>
        <v>https://docs.vmware.com/jp/VMware-Workstation-Player/index.html</v>
      </c>
      <c r="F17" s="97" t="s">
        <v>298</v>
      </c>
      <c r="G17" s="99">
        <v>43991</v>
      </c>
    </row>
    <row r="18" spans="1:7" ht="76.5">
      <c r="A18" s="92">
        <f t="shared" si="0"/>
        <v>15</v>
      </c>
      <c r="B18" s="93" t="str">
        <f>VLOOKUP($A18,テーブル11[],2)&amp;""</f>
        <v>WinSCP</v>
      </c>
      <c r="C18" s="94" t="str">
        <f>IFERROR(VLOOKUP($B18,テーブル11[[ソフトウェア]:[製品ベンダサイト（セキュリティアドバイザリ等）]],2,0),"")</f>
        <v>①キーボードの「Windows」キーを押しながら「R」キーを押します。
②「ファイル名を指定して実行」の「名前」欄に「appwiz.cpl」(Win8.1)または「ms-settings:appsfeatures」(Win10)と入力し、「OK」をクリックします。</v>
      </c>
      <c r="D18" s="95" t="s">
        <v>299</v>
      </c>
      <c r="E18" s="114" t="str">
        <f>HYPERLINK(IFERROR(VLOOKUP($B18,テーブル11[[ソフトウェア]:[製品ベンダサイト（セキュリティアドバイザリ等）]],3,0),""))</f>
        <v>https://winscp.net/eng/news.php</v>
      </c>
      <c r="F18" s="97" t="s">
        <v>299</v>
      </c>
      <c r="G18" s="186">
        <v>44036</v>
      </c>
    </row>
    <row r="19" spans="1:7">
      <c r="A19" s="92">
        <f t="shared" si="0"/>
        <v>16</v>
      </c>
      <c r="B19" s="93" t="str">
        <f>VLOOKUP($A19,テーブル11[],2)&amp;""</f>
        <v/>
      </c>
      <c r="C19" s="94" t="str">
        <f>IFERROR(VLOOKUP($B19,テーブル11[[ソフトウェア]:[製品ベンダサイト（セキュリティアドバイザリ等）]],2,0),"")</f>
        <v/>
      </c>
      <c r="D19" s="95"/>
      <c r="E19" s="114" t="str">
        <f>HYPERLINK(IFERROR(VLOOKUP($B19,テーブル11[[ソフトウェア]:[製品ベンダサイト（セキュリティアドバイザリ等）]],3,0),""))</f>
        <v/>
      </c>
      <c r="F19" s="95"/>
      <c r="G19" s="99"/>
    </row>
    <row r="20" spans="1:7">
      <c r="A20" s="92">
        <f t="shared" si="0"/>
        <v>17</v>
      </c>
      <c r="B20" s="93" t="str">
        <f>VLOOKUP($A20,テーブル11[],2)&amp;""</f>
        <v/>
      </c>
      <c r="C20" s="94" t="str">
        <f>IFERROR(VLOOKUP($B20,テーブル11[[ソフトウェア]:[製品ベンダサイト（セキュリティアドバイザリ等）]],2,0),"")</f>
        <v/>
      </c>
      <c r="D20" s="95"/>
      <c r="E20" s="114" t="str">
        <f>HYPERLINK(IFERROR(VLOOKUP($B20,テーブル11[[ソフトウェア]:[製品ベンダサイト（セキュリティアドバイザリ等）]],3,0),""))</f>
        <v/>
      </c>
      <c r="F20" s="95"/>
      <c r="G20" s="96"/>
    </row>
    <row r="21" spans="1:7">
      <c r="A21" s="92">
        <f t="shared" si="0"/>
        <v>18</v>
      </c>
      <c r="B21" s="93" t="str">
        <f>VLOOKUP($A21,テーブル11[],2)&amp;""</f>
        <v/>
      </c>
      <c r="C21" s="94" t="str">
        <f>IFERROR(VLOOKUP($B21,テーブル11[[ソフトウェア]:[製品ベンダサイト（セキュリティアドバイザリ等）]],2,0),"")</f>
        <v/>
      </c>
      <c r="D21" s="95"/>
      <c r="E21" s="114" t="str">
        <f>HYPERLINK(IFERROR(VLOOKUP($B21,テーブル11[[ソフトウェア]:[製品ベンダサイト（セキュリティアドバイザリ等）]],3,0),""))</f>
        <v/>
      </c>
      <c r="F21" s="95"/>
      <c r="G21" s="96"/>
    </row>
    <row r="22" spans="1:7">
      <c r="A22" s="92">
        <f t="shared" si="0"/>
        <v>19</v>
      </c>
      <c r="B22" s="93" t="str">
        <f>VLOOKUP($A22,テーブル11[],2)&amp;""</f>
        <v/>
      </c>
      <c r="C22" s="94" t="str">
        <f>IFERROR(VLOOKUP($B22,テーブル11[[ソフトウェア]:[製品ベンダサイト（セキュリティアドバイザリ等）]],2,0),"")</f>
        <v/>
      </c>
      <c r="D22" s="95"/>
      <c r="E22" s="114" t="str">
        <f>HYPERLINK(IFERROR(VLOOKUP($B22,テーブル11[[ソフトウェア]:[製品ベンダサイト（セキュリティアドバイザリ等）]],3,0),""))</f>
        <v/>
      </c>
      <c r="F22" s="95"/>
      <c r="G22" s="99"/>
    </row>
    <row r="23" spans="1:7">
      <c r="A23" s="92">
        <f t="shared" si="0"/>
        <v>20</v>
      </c>
      <c r="B23" s="93" t="str">
        <f>VLOOKUP($A23,テーブル11[],2)&amp;""</f>
        <v/>
      </c>
      <c r="C23" s="94" t="str">
        <f>IFERROR(VLOOKUP($B23,テーブル11[[ソフトウェア]:[製品ベンダサイト（セキュリティアドバイザリ等）]],2,0),"")</f>
        <v/>
      </c>
      <c r="D23" s="95"/>
      <c r="E23" s="114" t="str">
        <f>HYPERLINK(IFERROR(VLOOKUP($B23,テーブル11[[ソフトウェア]:[製品ベンダサイト（セキュリティアドバイザリ等）]],3,0),""))</f>
        <v/>
      </c>
      <c r="F23" s="95"/>
      <c r="G23" s="99"/>
    </row>
    <row r="24" spans="1:7">
      <c r="A24" s="92">
        <f t="shared" si="0"/>
        <v>21</v>
      </c>
      <c r="B24" s="93" t="str">
        <f>VLOOKUP($A24,テーブル11[],2)&amp;""</f>
        <v/>
      </c>
      <c r="C24" s="94" t="str">
        <f>IFERROR(VLOOKUP($B24,テーブル11[[ソフトウェア]:[製品ベンダサイト（セキュリティアドバイザリ等）]],2,0),"")</f>
        <v/>
      </c>
      <c r="D24" s="95"/>
      <c r="E24" s="114" t="str">
        <f>HYPERLINK(IFERROR(VLOOKUP($B24,テーブル11[[ソフトウェア]:[製品ベンダサイト（セキュリティアドバイザリ等）]],3,0),""))</f>
        <v/>
      </c>
      <c r="F24" s="95"/>
      <c r="G24" s="96"/>
    </row>
    <row r="25" spans="1:7">
      <c r="A25" s="92">
        <f t="shared" si="0"/>
        <v>22</v>
      </c>
      <c r="B25" s="93" t="str">
        <f>VLOOKUP($A25,テーブル11[],2)&amp;""</f>
        <v/>
      </c>
      <c r="C25" s="94" t="str">
        <f>IFERROR(VLOOKUP($B25,テーブル11[[ソフトウェア]:[製品ベンダサイト（セキュリティアドバイザリ等）]],2,0),"")</f>
        <v/>
      </c>
      <c r="D25" s="95"/>
      <c r="E25" s="114" t="str">
        <f>HYPERLINK(IFERROR(VLOOKUP($B25,テーブル11[[ソフトウェア]:[製品ベンダサイト（セキュリティアドバイザリ等）]],3,0),""))</f>
        <v/>
      </c>
      <c r="F25" s="95"/>
      <c r="G25" s="96"/>
    </row>
    <row r="26" spans="1:7">
      <c r="A26" s="92">
        <f t="shared" si="0"/>
        <v>23</v>
      </c>
      <c r="B26" s="93" t="str">
        <f>VLOOKUP($A26,テーブル11[],2)&amp;""</f>
        <v/>
      </c>
      <c r="C26" s="94" t="str">
        <f>IFERROR(VLOOKUP($B26,テーブル11[[ソフトウェア]:[製品ベンダサイト（セキュリティアドバイザリ等）]],2,0),"")</f>
        <v/>
      </c>
      <c r="D26" s="97"/>
      <c r="E26" s="114" t="str">
        <f>HYPERLINK(IFERROR(VLOOKUP($B26,テーブル11[[ソフトウェア]:[製品ベンダサイト（セキュリティアドバイザリ等）]],3,0),""))</f>
        <v/>
      </c>
      <c r="F26" s="97"/>
      <c r="G26" s="96"/>
    </row>
    <row r="27" spans="1:7">
      <c r="A27" s="92">
        <f t="shared" si="0"/>
        <v>24</v>
      </c>
      <c r="B27" s="93" t="str">
        <f>VLOOKUP($A27,テーブル11[],2)&amp;""</f>
        <v/>
      </c>
      <c r="C27" s="94" t="str">
        <f>IFERROR(VLOOKUP($B27,テーブル11[[ソフトウェア]:[製品ベンダサイト（セキュリティアドバイザリ等）]],2,0),"")</f>
        <v/>
      </c>
      <c r="D27" s="95"/>
      <c r="E27" s="114" t="str">
        <f>HYPERLINK(IFERROR(VLOOKUP($B27,テーブル11[[ソフトウェア]:[製品ベンダサイト（セキュリティアドバイザリ等）]],3,0),""))</f>
        <v/>
      </c>
      <c r="F27" s="95"/>
      <c r="G27" s="96"/>
    </row>
    <row r="28" spans="1:7">
      <c r="A28" s="92">
        <f t="shared" si="0"/>
        <v>25</v>
      </c>
      <c r="B28" s="93" t="str">
        <f>VLOOKUP($A28,テーブル11[],2)&amp;""</f>
        <v/>
      </c>
      <c r="C28" s="94" t="str">
        <f>IFERROR(VLOOKUP($B28,テーブル11[[ソフトウェア]:[製品ベンダサイト（セキュリティアドバイザリ等）]],2,0),"")</f>
        <v/>
      </c>
      <c r="D28" s="97"/>
      <c r="E28" s="114" t="str">
        <f>HYPERLINK(IFERROR(VLOOKUP($B28,テーブル11[[ソフトウェア]:[製品ベンダサイト（セキュリティアドバイザリ等）]],3,0),""))</f>
        <v/>
      </c>
      <c r="F28" s="97"/>
      <c r="G28" s="96"/>
    </row>
    <row r="29" spans="1:7">
      <c r="A29" s="92">
        <f t="shared" si="0"/>
        <v>26</v>
      </c>
      <c r="B29" s="93" t="str">
        <f>VLOOKUP($A29,テーブル11[],2)&amp;""</f>
        <v/>
      </c>
      <c r="C29" s="94" t="str">
        <f>IFERROR(VLOOKUP($B29,テーブル11[[ソフトウェア]:[製品ベンダサイト（セキュリティアドバイザリ等）]],2,0),"")</f>
        <v/>
      </c>
      <c r="D29" s="97"/>
      <c r="E29" s="114" t="str">
        <f>HYPERLINK(IFERROR(VLOOKUP($B29,テーブル11[[ソフトウェア]:[製品ベンダサイト（セキュリティアドバイザリ等）]],3,0),""))</f>
        <v/>
      </c>
      <c r="F29" s="97"/>
      <c r="G29" s="96"/>
    </row>
    <row r="30" spans="1:7">
      <c r="A30" s="92">
        <f t="shared" si="0"/>
        <v>27</v>
      </c>
      <c r="B30" s="93" t="str">
        <f>VLOOKUP($A30,テーブル11[],2)&amp;""</f>
        <v/>
      </c>
      <c r="C30" s="94" t="str">
        <f>IFERROR(VLOOKUP($B30,テーブル11[[ソフトウェア]:[製品ベンダサイト（セキュリティアドバイザリ等）]],2,0),"")</f>
        <v/>
      </c>
      <c r="D30" s="95"/>
      <c r="E30" s="114" t="str">
        <f>HYPERLINK(IFERROR(VLOOKUP($B30,テーブル11[[ソフトウェア]:[製品ベンダサイト（セキュリティアドバイザリ等）]],3,0),""))</f>
        <v/>
      </c>
      <c r="F30" s="97"/>
      <c r="G30" s="96"/>
    </row>
    <row r="31" spans="1:7">
      <c r="A31" s="92">
        <f t="shared" si="0"/>
        <v>28</v>
      </c>
      <c r="B31" s="93" t="str">
        <f>VLOOKUP($A31,テーブル11[],2)&amp;""</f>
        <v/>
      </c>
      <c r="C31" s="94" t="str">
        <f>IFERROR(VLOOKUP($B31,テーブル11[[ソフトウェア]:[製品ベンダサイト（セキュリティアドバイザリ等）]],2,0),"")</f>
        <v/>
      </c>
      <c r="D31" s="95"/>
      <c r="E31" s="114" t="str">
        <f>HYPERLINK(IFERROR(VLOOKUP($B31,テーブル11[[ソフトウェア]:[製品ベンダサイト（セキュリティアドバイザリ等）]],3,0),""))</f>
        <v/>
      </c>
      <c r="F31" s="95"/>
      <c r="G31" s="96"/>
    </row>
    <row r="32" spans="1:7">
      <c r="A32" s="92">
        <f t="shared" si="0"/>
        <v>29</v>
      </c>
      <c r="B32" s="93" t="str">
        <f>VLOOKUP($A32,テーブル11[],2)&amp;""</f>
        <v/>
      </c>
      <c r="C32" s="94" t="str">
        <f>IFERROR(VLOOKUP($B32,テーブル11[[ソフトウェア]:[製品ベンダサイト（セキュリティアドバイザリ等）]],2,0),"")</f>
        <v/>
      </c>
      <c r="D32" s="95"/>
      <c r="E32" s="114" t="str">
        <f>HYPERLINK(IFERROR(VLOOKUP($B32,テーブル11[[ソフトウェア]:[製品ベンダサイト（セキュリティアドバイザリ等）]],3,0),""))</f>
        <v/>
      </c>
      <c r="F32" s="97"/>
      <c r="G32" s="96"/>
    </row>
    <row r="33" spans="1:7">
      <c r="A33" s="92">
        <f t="shared" si="0"/>
        <v>30</v>
      </c>
      <c r="B33" s="93" t="str">
        <f>VLOOKUP($A33,テーブル11[],2)&amp;""</f>
        <v/>
      </c>
      <c r="C33" s="94" t="str">
        <f>IFERROR(VLOOKUP($B33,テーブル11[[ソフトウェア]:[製品ベンダサイト（セキュリティアドバイザリ等）]],2,0),"")</f>
        <v/>
      </c>
      <c r="D33" s="95"/>
      <c r="E33" s="114" t="str">
        <f>HYPERLINK(IFERROR(VLOOKUP($B33,テーブル11[[ソフトウェア]:[製品ベンダサイト（セキュリティアドバイザリ等）]],3,0),""))</f>
        <v/>
      </c>
      <c r="F33" s="97"/>
      <c r="G33" s="96"/>
    </row>
    <row r="34" spans="1:7">
      <c r="A34" s="92">
        <f t="shared" si="0"/>
        <v>31</v>
      </c>
      <c r="B34" s="93" t="str">
        <f>VLOOKUP($A34,テーブル11[],2)&amp;""</f>
        <v/>
      </c>
      <c r="C34" s="94" t="str">
        <f>IFERROR(VLOOKUP($B34,テーブル11[[ソフトウェア]:[製品ベンダサイト（セキュリティアドバイザリ等）]],2,0),"")</f>
        <v/>
      </c>
      <c r="D34" s="95"/>
      <c r="E34" s="114" t="str">
        <f>HYPERLINK(IFERROR(VLOOKUP($B34,テーブル11[[ソフトウェア]:[製品ベンダサイト（セキュリティアドバイザリ等）]],3,0),""))</f>
        <v/>
      </c>
      <c r="F34" s="97"/>
      <c r="G34" s="96"/>
    </row>
    <row r="35" spans="1:7">
      <c r="A35" s="92">
        <f t="shared" si="0"/>
        <v>32</v>
      </c>
      <c r="B35" s="93" t="str">
        <f>VLOOKUP($A35,テーブル11[],2)&amp;""</f>
        <v/>
      </c>
      <c r="C35" s="94" t="str">
        <f>IFERROR(VLOOKUP($B35,テーブル11[[ソフトウェア]:[製品ベンダサイト（セキュリティアドバイザリ等）]],2,0),"")</f>
        <v/>
      </c>
      <c r="D35" s="97"/>
      <c r="E35" s="114" t="str">
        <f>HYPERLINK(IFERROR(VLOOKUP($B35,テーブル11[[ソフトウェア]:[製品ベンダサイト（セキュリティアドバイザリ等）]],3,0),""))</f>
        <v/>
      </c>
      <c r="F35" s="98"/>
      <c r="G35" s="99"/>
    </row>
    <row r="36" spans="1:7">
      <c r="A36" s="92">
        <f t="shared" ref="A36:A53" si="1">ROW()-3</f>
        <v>33</v>
      </c>
      <c r="B36" s="93" t="str">
        <f>VLOOKUP($A36,テーブル11[],2)&amp;""</f>
        <v/>
      </c>
      <c r="C36" s="94" t="str">
        <f>IFERROR(VLOOKUP($B36,テーブル11[[ソフトウェア]:[製品ベンダサイト（セキュリティアドバイザリ等）]],2,0),"")</f>
        <v/>
      </c>
      <c r="D36" s="97"/>
      <c r="E36" s="114" t="str">
        <f>HYPERLINK(IFERROR(VLOOKUP($B36,テーブル11[[ソフトウェア]:[製品ベンダサイト（セキュリティアドバイザリ等）]],3,0),""))</f>
        <v/>
      </c>
      <c r="F36" s="98"/>
      <c r="G36" s="100"/>
    </row>
    <row r="37" spans="1:7">
      <c r="A37" s="92">
        <f t="shared" si="1"/>
        <v>34</v>
      </c>
      <c r="B37" s="93" t="str">
        <f>VLOOKUP($A37,テーブル11[],2)&amp;""</f>
        <v/>
      </c>
      <c r="C37" s="94" t="str">
        <f>IFERROR(VLOOKUP($B37,テーブル11[[ソフトウェア]:[製品ベンダサイト（セキュリティアドバイザリ等）]],2,0),"")</f>
        <v/>
      </c>
      <c r="D37" s="97"/>
      <c r="E37" s="114" t="str">
        <f>HYPERLINK(IFERROR(VLOOKUP($B37,テーブル11[[ソフトウェア]:[製品ベンダサイト（セキュリティアドバイザリ等）]],3,0),""))</f>
        <v/>
      </c>
      <c r="F37" s="98"/>
      <c r="G37" s="100"/>
    </row>
    <row r="38" spans="1:7">
      <c r="A38" s="92">
        <f t="shared" si="1"/>
        <v>35</v>
      </c>
      <c r="B38" s="93" t="str">
        <f>VLOOKUP($A38,テーブル11[],2)&amp;""</f>
        <v/>
      </c>
      <c r="C38" s="94" t="str">
        <f>IFERROR(VLOOKUP($B38,テーブル11[[ソフトウェア]:[製品ベンダサイト（セキュリティアドバイザリ等）]],2,0),"")</f>
        <v/>
      </c>
      <c r="D38" s="97"/>
      <c r="E38" s="114" t="str">
        <f>HYPERLINK(IFERROR(VLOOKUP($B38,テーブル11[[ソフトウェア]:[製品ベンダサイト（セキュリティアドバイザリ等）]],3,0),""))</f>
        <v/>
      </c>
      <c r="F38" s="98"/>
      <c r="G38" s="100"/>
    </row>
    <row r="39" spans="1:7">
      <c r="A39" s="92">
        <f t="shared" si="1"/>
        <v>36</v>
      </c>
      <c r="B39" s="93" t="str">
        <f>VLOOKUP($A39,テーブル11[],2)&amp;""</f>
        <v/>
      </c>
      <c r="C39" s="94" t="str">
        <f>IFERROR(VLOOKUP($B39,テーブル11[[ソフトウェア]:[製品ベンダサイト（セキュリティアドバイザリ等）]],2,0),"")</f>
        <v/>
      </c>
      <c r="D39" s="97"/>
      <c r="E39" s="114" t="str">
        <f>HYPERLINK(IFERROR(VLOOKUP($B39,テーブル11[[ソフトウェア]:[製品ベンダサイト（セキュリティアドバイザリ等）]],3,0),""))</f>
        <v/>
      </c>
      <c r="F39" s="98"/>
      <c r="G39" s="100"/>
    </row>
    <row r="40" spans="1:7">
      <c r="A40" s="92">
        <f t="shared" si="1"/>
        <v>37</v>
      </c>
      <c r="B40" s="93" t="str">
        <f>VLOOKUP($A40,テーブル11[],2)&amp;""</f>
        <v/>
      </c>
      <c r="C40" s="94" t="str">
        <f>IFERROR(VLOOKUP($B40,テーブル11[[ソフトウェア]:[製品ベンダサイト（セキュリティアドバイザリ等）]],2,0),"")</f>
        <v/>
      </c>
      <c r="D40" s="97"/>
      <c r="E40" s="114" t="str">
        <f>HYPERLINK(IFERROR(VLOOKUP($B40,テーブル11[[ソフトウェア]:[製品ベンダサイト（セキュリティアドバイザリ等）]],3,0),""))</f>
        <v/>
      </c>
      <c r="F40" s="98"/>
      <c r="G40" s="100"/>
    </row>
    <row r="41" spans="1:7">
      <c r="A41" s="92">
        <f t="shared" si="1"/>
        <v>38</v>
      </c>
      <c r="B41" s="93" t="str">
        <f>VLOOKUP($A41,テーブル11[],2)&amp;""</f>
        <v/>
      </c>
      <c r="C41" s="94" t="str">
        <f>IFERROR(VLOOKUP($B41,テーブル11[[ソフトウェア]:[製品ベンダサイト（セキュリティアドバイザリ等）]],2,0),"")</f>
        <v/>
      </c>
      <c r="D41" s="97"/>
      <c r="E41" s="114" t="str">
        <f>HYPERLINK(IFERROR(VLOOKUP($B41,テーブル11[[ソフトウェア]:[製品ベンダサイト（セキュリティアドバイザリ等）]],3,0),""))</f>
        <v/>
      </c>
      <c r="F41" s="98"/>
      <c r="G41" s="100"/>
    </row>
    <row r="42" spans="1:7">
      <c r="A42" s="92">
        <f t="shared" si="1"/>
        <v>39</v>
      </c>
      <c r="B42" s="93" t="str">
        <f>VLOOKUP($A42,テーブル11[],2)&amp;""</f>
        <v/>
      </c>
      <c r="C42" s="94" t="str">
        <f>IFERROR(VLOOKUP($B42,テーブル11[[ソフトウェア]:[製品ベンダサイト（セキュリティアドバイザリ等）]],2,0),"")</f>
        <v/>
      </c>
      <c r="D42" s="97"/>
      <c r="E42" s="114" t="str">
        <f>HYPERLINK(IFERROR(VLOOKUP($B42,テーブル11[[ソフトウェア]:[製品ベンダサイト（セキュリティアドバイザリ等）]],3,0),""))</f>
        <v/>
      </c>
      <c r="F42" s="98"/>
      <c r="G42" s="100"/>
    </row>
    <row r="43" spans="1:7">
      <c r="A43" s="92">
        <f t="shared" si="1"/>
        <v>40</v>
      </c>
      <c r="B43" s="93" t="str">
        <f>VLOOKUP($A43,テーブル11[],2)&amp;""</f>
        <v/>
      </c>
      <c r="C43" s="94" t="str">
        <f>IFERROR(VLOOKUP($B43,テーブル11[[ソフトウェア]:[製品ベンダサイト（セキュリティアドバイザリ等）]],2,0),"")</f>
        <v/>
      </c>
      <c r="D43" s="97"/>
      <c r="E43" s="114" t="str">
        <f>HYPERLINK(IFERROR(VLOOKUP($B43,テーブル11[[ソフトウェア]:[製品ベンダサイト（セキュリティアドバイザリ等）]],3,0),""))</f>
        <v/>
      </c>
      <c r="F43" s="98"/>
      <c r="G43" s="100"/>
    </row>
    <row r="44" spans="1:7">
      <c r="A44" s="92">
        <f t="shared" si="1"/>
        <v>41</v>
      </c>
      <c r="B44" s="93" t="str">
        <f>VLOOKUP($A44,テーブル11[],2)&amp;""</f>
        <v/>
      </c>
      <c r="C44" s="94" t="str">
        <f>IFERROR(VLOOKUP($B44,テーブル11[[ソフトウェア]:[製品ベンダサイト（セキュリティアドバイザリ等）]],2,0),"")</f>
        <v/>
      </c>
      <c r="D44" s="97"/>
      <c r="E44" s="114" t="str">
        <f>HYPERLINK(IFERROR(VLOOKUP($B44,テーブル11[[ソフトウェア]:[製品ベンダサイト（セキュリティアドバイザリ等）]],3,0),""))</f>
        <v/>
      </c>
      <c r="F44" s="98"/>
      <c r="G44" s="100"/>
    </row>
    <row r="45" spans="1:7">
      <c r="A45" s="92">
        <f t="shared" si="1"/>
        <v>42</v>
      </c>
      <c r="B45" s="93" t="str">
        <f>VLOOKUP($A45,テーブル11[],2)&amp;""</f>
        <v/>
      </c>
      <c r="C45" s="94" t="str">
        <f>IFERROR(VLOOKUP($B45,テーブル11[[ソフトウェア]:[製品ベンダサイト（セキュリティアドバイザリ等）]],2,0),"")</f>
        <v/>
      </c>
      <c r="D45" s="97"/>
      <c r="E45" s="114" t="str">
        <f>HYPERLINK(IFERROR(VLOOKUP($B45,テーブル11[[ソフトウェア]:[製品ベンダサイト（セキュリティアドバイザリ等）]],3,0),""))</f>
        <v/>
      </c>
      <c r="F45" s="98"/>
      <c r="G45" s="100"/>
    </row>
    <row r="46" spans="1:7">
      <c r="A46" s="92">
        <f t="shared" si="1"/>
        <v>43</v>
      </c>
      <c r="B46" s="93" t="str">
        <f>VLOOKUP($A46,テーブル11[],2)&amp;""</f>
        <v/>
      </c>
      <c r="C46" s="94" t="str">
        <f>IFERROR(VLOOKUP($B46,テーブル11[[ソフトウェア]:[製品ベンダサイト（セキュリティアドバイザリ等）]],2,0),"")</f>
        <v/>
      </c>
      <c r="D46" s="97"/>
      <c r="E46" s="114" t="str">
        <f>HYPERLINK(IFERROR(VLOOKUP($B46,テーブル11[[ソフトウェア]:[製品ベンダサイト（セキュリティアドバイザリ等）]],3,0),""))</f>
        <v/>
      </c>
      <c r="F46" s="98"/>
      <c r="G46" s="100"/>
    </row>
    <row r="47" spans="1:7">
      <c r="A47" s="92">
        <f t="shared" si="1"/>
        <v>44</v>
      </c>
      <c r="B47" s="93" t="str">
        <f>VLOOKUP($A47,テーブル11[],2)&amp;""</f>
        <v/>
      </c>
      <c r="C47" s="94" t="str">
        <f>IFERROR(VLOOKUP($B47,テーブル11[[ソフトウェア]:[製品ベンダサイト（セキュリティアドバイザリ等）]],2,0),"")</f>
        <v/>
      </c>
      <c r="D47" s="97"/>
      <c r="E47" s="114" t="str">
        <f>HYPERLINK(IFERROR(VLOOKUP($B47,テーブル11[[ソフトウェア]:[製品ベンダサイト（セキュリティアドバイザリ等）]],3,0),""))</f>
        <v/>
      </c>
      <c r="F47" s="98"/>
      <c r="G47" s="100"/>
    </row>
    <row r="48" spans="1:7">
      <c r="A48" s="92">
        <f t="shared" si="1"/>
        <v>45</v>
      </c>
      <c r="B48" s="93" t="str">
        <f>VLOOKUP($A48,テーブル11[],2)&amp;""</f>
        <v/>
      </c>
      <c r="C48" s="94" t="str">
        <f>IFERROR(VLOOKUP($B48,テーブル11[[ソフトウェア]:[製品ベンダサイト（セキュリティアドバイザリ等）]],2,0),"")</f>
        <v/>
      </c>
      <c r="D48" s="97"/>
      <c r="E48" s="114" t="str">
        <f>HYPERLINK(IFERROR(VLOOKUP($B48,テーブル11[[ソフトウェア]:[製品ベンダサイト（セキュリティアドバイザリ等）]],3,0),""))</f>
        <v/>
      </c>
      <c r="F48" s="98"/>
      <c r="G48" s="100"/>
    </row>
    <row r="49" spans="1:7">
      <c r="A49" s="92">
        <f t="shared" si="1"/>
        <v>46</v>
      </c>
      <c r="B49" s="93" t="str">
        <f>VLOOKUP($A49,テーブル11[],2)&amp;""</f>
        <v/>
      </c>
      <c r="C49" s="94" t="str">
        <f>IFERROR(VLOOKUP($B49,テーブル11[[ソフトウェア]:[製品ベンダサイト（セキュリティアドバイザリ等）]],2,0),"")</f>
        <v/>
      </c>
      <c r="D49" s="97"/>
      <c r="E49" s="114" t="str">
        <f>HYPERLINK(IFERROR(VLOOKUP($B49,テーブル11[[ソフトウェア]:[製品ベンダサイト（セキュリティアドバイザリ等）]],3,0),""))</f>
        <v/>
      </c>
      <c r="F49" s="98"/>
      <c r="G49" s="100"/>
    </row>
    <row r="50" spans="1:7">
      <c r="A50" s="92">
        <f t="shared" si="1"/>
        <v>47</v>
      </c>
      <c r="B50" s="93" t="str">
        <f>VLOOKUP($A50,テーブル11[],2)&amp;""</f>
        <v/>
      </c>
      <c r="C50" s="94" t="str">
        <f>IFERROR(VLOOKUP($B50,テーブル11[[ソフトウェア]:[製品ベンダサイト（セキュリティアドバイザリ等）]],2,0),"")</f>
        <v/>
      </c>
      <c r="D50" s="97"/>
      <c r="E50" s="114" t="str">
        <f>HYPERLINK(IFERROR(VLOOKUP($B50,テーブル11[[ソフトウェア]:[製品ベンダサイト（セキュリティアドバイザリ等）]],3,0),""))</f>
        <v/>
      </c>
      <c r="F50" s="98"/>
      <c r="G50" s="100"/>
    </row>
    <row r="51" spans="1:7">
      <c r="A51" s="92">
        <f t="shared" si="1"/>
        <v>48</v>
      </c>
      <c r="B51" s="93" t="str">
        <f>VLOOKUP($A51,テーブル11[],2)&amp;""</f>
        <v/>
      </c>
      <c r="C51" s="94" t="str">
        <f>IFERROR(VLOOKUP($B51,テーブル11[[ソフトウェア]:[製品ベンダサイト（セキュリティアドバイザリ等）]],2,0),"")</f>
        <v/>
      </c>
      <c r="D51" s="97"/>
      <c r="E51" s="114" t="str">
        <f>HYPERLINK(IFERROR(VLOOKUP($B51,テーブル11[[ソフトウェア]:[製品ベンダサイト（セキュリティアドバイザリ等）]],3,0),""))</f>
        <v/>
      </c>
      <c r="F51" s="98"/>
      <c r="G51" s="100"/>
    </row>
    <row r="52" spans="1:7">
      <c r="A52" s="92">
        <f t="shared" si="1"/>
        <v>49</v>
      </c>
      <c r="B52" s="93" t="str">
        <f>VLOOKUP($A52,テーブル11[],2)&amp;""</f>
        <v/>
      </c>
      <c r="C52" s="94" t="str">
        <f>IFERROR(VLOOKUP($B52,テーブル11[[ソフトウェア]:[製品ベンダサイト（セキュリティアドバイザリ等）]],2,0),"")</f>
        <v/>
      </c>
      <c r="D52" s="97"/>
      <c r="E52" s="114" t="str">
        <f>HYPERLINK(IFERROR(VLOOKUP($B52,テーブル11[[ソフトウェア]:[製品ベンダサイト（セキュリティアドバイザリ等）]],3,0),""))</f>
        <v/>
      </c>
      <c r="F52" s="98"/>
      <c r="G52" s="100"/>
    </row>
    <row r="53" spans="1:7">
      <c r="A53" s="92">
        <f t="shared" si="1"/>
        <v>50</v>
      </c>
      <c r="B53" s="93" t="str">
        <f>VLOOKUP($A53,テーブル11[],2)&amp;""</f>
        <v/>
      </c>
      <c r="C53" s="94" t="str">
        <f>IFERROR(VLOOKUP($B53,テーブル11[[ソフトウェア]:[製品ベンダサイト（セキュリティアドバイザリ等）]],2,0),"")</f>
        <v/>
      </c>
      <c r="D53" s="97"/>
      <c r="E53" s="114" t="str">
        <f>HYPERLINK(IFERROR(VLOOKUP($B53,テーブル11[[ソフトウェア]:[製品ベンダサイト（セキュリティアドバイザリ等）]],3,0),""))</f>
        <v/>
      </c>
      <c r="F53" s="98"/>
      <c r="G53" s="100"/>
    </row>
  </sheetData>
  <phoneticPr fontId="1"/>
  <conditionalFormatting sqref="G4:G16 G19:G504">
    <cfRule type="timePeriod" dxfId="85" priority="31" timePeriod="thisWeek">
      <formula>AND(TODAY()-ROUNDDOWN(G4,0)&lt;=WEEKDAY(TODAY())-1,ROUNDDOWN(G4,0)-TODAY()&lt;=7-WEEKDAY(TODAY()))</formula>
    </cfRule>
  </conditionalFormatting>
  <conditionalFormatting sqref="G17">
    <cfRule type="timePeriod" dxfId="84" priority="2" timePeriod="thisWeek">
      <formula>AND(TODAY()-ROUNDDOWN(G17,0)&lt;=WEEKDAY(TODAY())-1,ROUNDDOWN(G17,0)-TODAY()&lt;=7-WEEKDAY(TODAY()))</formula>
    </cfRule>
  </conditionalFormatting>
  <conditionalFormatting sqref="G18">
    <cfRule type="timePeriod" dxfId="83" priority="1" timePeriod="thisWeek">
      <formula>AND(TODAY()-ROUNDDOWN(G18,0)&lt;=WEEKDAY(TODAY())-1,ROUNDDOWN(G18,0)-TODAY()&lt;=7-WEEKDAY(TODAY()))</formula>
    </cfRule>
  </conditionalFormatting>
  <pageMargins left="0.70866141732283472" right="0.70866141732283472" top="0.74803149606299213" bottom="0.74803149606299213" header="0.31496062992125984" footer="0.31496062992125984"/>
  <pageSetup paperSize="9" scale="44" fitToHeight="0"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4A6E2-6FC1-4145-BF23-638E64ED32AC}">
  <sheetPr codeName="Sheet12">
    <tabColor theme="9" tint="0.59999389629810485"/>
    <pageSetUpPr fitToPage="1"/>
  </sheetPr>
  <dimension ref="A1:N53"/>
  <sheetViews>
    <sheetView showGridLines="0" showRuler="0" showWhiteSpace="0" zoomScaleNormal="100" workbookViewId="0">
      <selection activeCell="A2" sqref="A2"/>
    </sheetView>
  </sheetViews>
  <sheetFormatPr defaultColWidth="10.625" defaultRowHeight="14.25"/>
  <cols>
    <col min="1" max="1" width="4.875" style="34" customWidth="1"/>
    <col min="2" max="2" width="35.375" style="34" customWidth="1"/>
    <col min="3" max="3" width="35.625" style="143" customWidth="1"/>
    <col min="4" max="8" width="10.625" style="144" customWidth="1"/>
    <col min="9" max="10" width="2.375" style="34" hidden="1" customWidth="1"/>
    <col min="11" max="11" width="2.75" style="32" customWidth="1"/>
    <col min="12" max="12" width="4.625" style="32" customWidth="1"/>
    <col min="13" max="13" width="35.625" style="24" customWidth="1"/>
    <col min="14" max="14" width="39" style="32" customWidth="1"/>
    <col min="15" max="16384" width="10.625" style="32"/>
  </cols>
  <sheetData>
    <row r="1" spans="1:14" s="3" customFormat="1" ht="19.5">
      <c r="A1" s="1" t="s">
        <v>273</v>
      </c>
      <c r="B1" s="1"/>
      <c r="C1" s="2"/>
      <c r="D1" s="27"/>
      <c r="E1" s="27"/>
      <c r="F1" s="27"/>
      <c r="G1" s="27"/>
      <c r="H1" s="27"/>
      <c r="I1" s="27"/>
      <c r="J1" s="27"/>
      <c r="K1" s="27"/>
      <c r="L1" s="27"/>
      <c r="M1" s="27"/>
      <c r="N1" s="27"/>
    </row>
    <row r="2" spans="1:14" s="3" customFormat="1">
      <c r="B2" s="28"/>
      <c r="C2" s="28"/>
    </row>
    <row r="3" spans="1:14" s="4" customFormat="1" ht="37.5" customHeight="1">
      <c r="A3" s="127" t="s">
        <v>3</v>
      </c>
      <c r="B3" s="128" t="s">
        <v>49</v>
      </c>
      <c r="C3" s="129" t="s">
        <v>137</v>
      </c>
      <c r="D3" s="122" t="s">
        <v>44</v>
      </c>
      <c r="E3" s="122" t="s">
        <v>45</v>
      </c>
      <c r="F3" s="123" t="s">
        <v>46</v>
      </c>
      <c r="G3" s="122" t="s">
        <v>47</v>
      </c>
      <c r="H3" s="123" t="s">
        <v>48</v>
      </c>
      <c r="I3" s="130" t="s">
        <v>76</v>
      </c>
      <c r="J3" s="130" t="s">
        <v>77</v>
      </c>
      <c r="L3" s="127" t="s">
        <v>3</v>
      </c>
      <c r="M3" s="128" t="s">
        <v>11</v>
      </c>
      <c r="N3" s="129" t="s">
        <v>1</v>
      </c>
    </row>
    <row r="4" spans="1:14" s="31" customFormat="1" ht="22.5" customHeight="1">
      <c r="A4" s="55">
        <f>ROW()-3</f>
        <v>1</v>
      </c>
      <c r="B4" s="65" t="str">
        <f>VLOOKUP($A4,テーブル11[],2)&amp;""</f>
        <v>Windows 10 Version 2004</v>
      </c>
      <c r="C4" s="120" t="str">
        <f>HYPERLINK(IFERROR(VLOOKUP($B4,テーブル11[[ソフトウェア]:[製品ベンダサイト（セキュリティアドバイザリ等）]],5,0),""))</f>
        <v>https://portal.msrc.microsoft.com/en-us/security-guidance</v>
      </c>
      <c r="D4" s="139" t="s">
        <v>330</v>
      </c>
      <c r="E4" s="139" t="s">
        <v>323</v>
      </c>
      <c r="F4" s="139" t="s">
        <v>331</v>
      </c>
      <c r="G4" s="139" t="s">
        <v>332</v>
      </c>
      <c r="H4" s="139"/>
      <c r="I4" s="29" t="str">
        <f>IF(COUNTIF(テーブル13[[#This Row],[収集情報1]:[収集情報5]],"http*"),"○","")&amp;""</f>
        <v>○</v>
      </c>
      <c r="J4" s="30" t="str">
        <f>IFERROR(_xlfn.IFS(VLOOKUP($B4,バージョン情報の確認!$B$4:$G$1048576,3,0)&lt;&gt;VLOOKUP($B4,バージョン情報の確認!$B$4:$G$1048576,5,0),"○",VLOOKUP($B4,脆弱性の影響度確認!$B$6:$K$1048576,3,0)="〇:影響を受ける","○"),"")</f>
        <v>○</v>
      </c>
      <c r="L4" s="55">
        <v>1</v>
      </c>
      <c r="M4" s="65" t="s">
        <v>14</v>
      </c>
      <c r="N4" s="145" t="str">
        <f>HYPERLINK(IFERROR(VLOOKUP($M4,よく使われる収集先一覧!$B$4:$C$18,2,0),""))</f>
        <v>https://www.ipa.go.jp/security/announce/alert.html</v>
      </c>
    </row>
    <row r="5" spans="1:14" s="31" customFormat="1" ht="22.5" customHeight="1">
      <c r="A5" s="55">
        <f t="shared" ref="A5:A34" si="0">ROW()-3</f>
        <v>2</v>
      </c>
      <c r="B5" s="65" t="str">
        <f>VLOOKUP($A5,テーブル11[],2)&amp;""</f>
        <v>Adobe Acrobat Reader DC</v>
      </c>
      <c r="C5" s="120" t="str">
        <f>HYPERLINK(IFERROR(VLOOKUP($B5,テーブル11[[ソフトウェア]:[製品ベンダサイト（セキュリティアドバイザリ等）]],5,0),""))</f>
        <v>https://helpx.adobe.com/security.html#acrobat</v>
      </c>
      <c r="D5" s="139"/>
      <c r="E5" s="139"/>
      <c r="F5" s="139"/>
      <c r="G5" s="139"/>
      <c r="H5" s="139"/>
      <c r="I5" s="29" t="str">
        <f>IF(COUNTIF(テーブル13[[#This Row],[収集情報1]:[収集情報5]],"http*"),"○","")&amp;""</f>
        <v/>
      </c>
      <c r="J5" s="30" t="str">
        <f>IFERROR(_xlfn.IFS(VLOOKUP($B5,バージョン情報の確認!$B$4:$G$1048576,3,0)&lt;&gt;VLOOKUP($B5,バージョン情報の確認!$B$4:$G$1048576,5,0),"○",VLOOKUP($B5,脆弱性の影響度確認!$B$6:$K$1048576,3,0)="〇:影響を受ける","○"),"")</f>
        <v/>
      </c>
      <c r="L5" s="55">
        <v>2</v>
      </c>
      <c r="M5" s="65" t="s">
        <v>300</v>
      </c>
      <c r="N5" s="145" t="str">
        <f>HYPERLINK(IFERROR(VLOOKUP($M5,よく使われる収集先一覧!$B$4:$C$18,2,0),""))</f>
        <v>https://www.jpcert.or.jp/at/2020.html</v>
      </c>
    </row>
    <row r="6" spans="1:14" s="31" customFormat="1" ht="22.5" customHeight="1">
      <c r="A6" s="55">
        <f t="shared" si="0"/>
        <v>3</v>
      </c>
      <c r="B6" s="65" t="str">
        <f>VLOOKUP($A6,テーブル11[],2)&amp;""</f>
        <v>Adobe AIR</v>
      </c>
      <c r="C6" s="120" t="str">
        <f>HYPERLINK(IFERROR(VLOOKUP($B6,テーブル11[[ソフトウェア]:[製品ベンダサイト（セキュリティアドバイザリ等）]],5,0),""))</f>
        <v>https://helpx.adobe.com/security.html#air</v>
      </c>
      <c r="D6" s="139"/>
      <c r="E6" s="139"/>
      <c r="F6" s="139"/>
      <c r="G6" s="139"/>
      <c r="H6" s="139"/>
      <c r="I6" s="29" t="str">
        <f>IF(COUNTIF(テーブル13[[#This Row],[収集情報1]:[収集情報5]],"http*"),"○","")&amp;""</f>
        <v/>
      </c>
      <c r="J6" s="30" t="str">
        <f>IFERROR(_xlfn.IFS(VLOOKUP($B6,バージョン情報の確認!$B$4:$G$1048576,3,0)&lt;&gt;VLOOKUP($B6,バージョン情報の確認!$B$4:$G$1048576,5,0),"○",VLOOKUP($B6,脆弱性の影響度確認!$B$6:$K$1048576,3,0)="〇:影響を受ける","○"),"")</f>
        <v/>
      </c>
      <c r="L6" s="55">
        <v>3</v>
      </c>
      <c r="M6" s="65" t="s">
        <v>301</v>
      </c>
      <c r="N6" s="145" t="str">
        <f>HYPERLINK(IFERROR(VLOOKUP($M6,よく使われる収集先一覧!$B$4:$C$18,2,0),""))</f>
        <v>https://www.jpcert.or.jp/newsflash/</v>
      </c>
    </row>
    <row r="7" spans="1:14" s="31" customFormat="1" ht="22.5" customHeight="1">
      <c r="A7" s="55">
        <f t="shared" si="0"/>
        <v>4</v>
      </c>
      <c r="B7" s="65" t="str">
        <f>VLOOKUP($A7,テーブル11[],2)&amp;""</f>
        <v>Adobe Flash Player（AcitveX）</v>
      </c>
      <c r="C7" s="120" t="str">
        <f>HYPERLINK(IFERROR(VLOOKUP($B7,テーブル11[[ソフトウェア]:[製品ベンダサイト（セキュリティアドバイザリ等）]],5,0),""))</f>
        <v>https://helpx.adobe.com/security.html#flashplayer</v>
      </c>
      <c r="D7" s="139"/>
      <c r="E7" s="139"/>
      <c r="F7" s="139"/>
      <c r="G7" s="139"/>
      <c r="H7" s="139"/>
      <c r="I7" s="29" t="str">
        <f>IF(COUNTIF(テーブル13[[#This Row],[収集情報1]:[収集情報5]],"http*"),"○","")&amp;""</f>
        <v/>
      </c>
      <c r="J7" s="30" t="str">
        <f>IFERROR(_xlfn.IFS(VLOOKUP($B7,バージョン情報の確認!$B$4:$G$1048576,3,0)&lt;&gt;VLOOKUP($B7,バージョン情報の確認!$B$4:$G$1048576,5,0),"○",VLOOKUP($B7,脆弱性の影響度確認!$B$6:$K$1048576,3,0)="〇:影響を受ける","○"),"")</f>
        <v/>
      </c>
      <c r="L7" s="55">
        <v>4</v>
      </c>
      <c r="M7" s="65" t="s">
        <v>302</v>
      </c>
      <c r="N7" s="145" t="str">
        <f>HYPERLINK(IFERROR(VLOOKUP($M7,よく使われる収集先一覧!$B$4:$C$18,2,0),""))</f>
        <v>https://twitter.com/nisc_forecast</v>
      </c>
    </row>
    <row r="8" spans="1:14" s="31" customFormat="1" ht="22.5" customHeight="1">
      <c r="A8" s="55">
        <f t="shared" si="0"/>
        <v>5</v>
      </c>
      <c r="B8" s="65" t="str">
        <f>VLOOKUP($A8,テーブル11[],2)&amp;""</f>
        <v>Google Chrome</v>
      </c>
      <c r="C8" s="120" t="str">
        <f>HYPERLINK(IFERROR(VLOOKUP($B8,テーブル11[[ソフトウェア]:[製品ベンダサイト（セキュリティアドバイザリ等）]],5,0),""))</f>
        <v>https://chromereleases.googleblog.com/</v>
      </c>
      <c r="D8" s="139"/>
      <c r="E8" s="139"/>
      <c r="F8" s="139"/>
      <c r="G8" s="139"/>
      <c r="H8" s="139"/>
      <c r="I8" s="29" t="str">
        <f>IF(COUNTIF(テーブル13[[#This Row],[収集情報1]:[収集情報5]],"http*"),"○","")&amp;""</f>
        <v/>
      </c>
      <c r="J8" s="30" t="str">
        <f>IFERROR(_xlfn.IFS(VLOOKUP($B8,バージョン情報の確認!$B$4:$G$1048576,3,0)&lt;&gt;VLOOKUP($B8,バージョン情報の確認!$B$4:$G$1048576,5,0),"○",VLOOKUP($B8,脆弱性の影響度確認!$B$6:$K$1048576,3,0)="〇:影響を受ける","○"),"")</f>
        <v/>
      </c>
      <c r="L8" s="55">
        <v>5</v>
      </c>
      <c r="M8" s="65" t="s">
        <v>303</v>
      </c>
      <c r="N8" s="145" t="str">
        <f>HYPERLINK(IFERROR(VLOOKUP($M8,よく使われる収集先一覧!$B$4:$C$18,2,0),""))</f>
        <v>https://www.npa.go.jp/cyberpolice/</v>
      </c>
    </row>
    <row r="9" spans="1:14" s="31" customFormat="1" ht="22.5" customHeight="1">
      <c r="A9" s="55">
        <f t="shared" si="0"/>
        <v>6</v>
      </c>
      <c r="B9" s="65" t="str">
        <f>VLOOKUP($A9,テーブル11[],2)&amp;""</f>
        <v>iLogScanner（オフライン版）</v>
      </c>
      <c r="C9" s="120" t="str">
        <f>HYPERLINK(IFERROR(VLOOKUP($B9,テーブル11[[ソフトウェア]:[製品ベンダサイト（セキュリティアドバイザリ等）]],5,0),""))</f>
        <v>https://www.ipa.go.jp/security/vuln/iLogScanner/</v>
      </c>
      <c r="D9" s="139"/>
      <c r="E9" s="139"/>
      <c r="F9" s="139"/>
      <c r="G9" s="139"/>
      <c r="H9" s="139"/>
      <c r="I9" s="29" t="str">
        <f>IF(COUNTIF(テーブル13[[#This Row],[収集情報1]:[収集情報5]],"http*"),"○","")&amp;""</f>
        <v/>
      </c>
      <c r="J9" s="30" t="str">
        <f>IFERROR(_xlfn.IFS(VLOOKUP($B9,バージョン情報の確認!$B$4:$G$1048576,3,0)&lt;&gt;VLOOKUP($B9,バージョン情報の確認!$B$4:$G$1048576,5,0),"○",VLOOKUP($B9,脆弱性の影響度確認!$B$6:$K$1048576,3,0)="〇:影響を受ける","○"),"")</f>
        <v/>
      </c>
      <c r="L9" s="55">
        <v>6</v>
      </c>
      <c r="M9" s="65" t="s">
        <v>304</v>
      </c>
      <c r="N9" s="145" t="str">
        <f>HYPERLINK(IFERROR(VLOOKUP($M9,よく使われる収集先一覧!$B$4:$C$18,2,0),""))</f>
        <v>https://us-cert.cisa.gov/ncas/alerts</v>
      </c>
    </row>
    <row r="10" spans="1:14" s="31" customFormat="1" ht="22.5" customHeight="1">
      <c r="A10" s="55">
        <f t="shared" si="0"/>
        <v>7</v>
      </c>
      <c r="B10" s="65" t="str">
        <f>VLOOKUP($A10,テーブル11[],2)&amp;""</f>
        <v>Java 8 Update</v>
      </c>
      <c r="C10" s="120" t="str">
        <f>HYPERLINK(IFERROR(VLOOKUP($B10,テーブル11[[ソフトウェア]:[製品ベンダサイト（セキュリティアドバイザリ等）]],5,0),""))</f>
        <v>https://www.oracle.com/security-alerts/</v>
      </c>
      <c r="D10" s="139"/>
      <c r="E10" s="139"/>
      <c r="F10" s="139"/>
      <c r="G10" s="139"/>
      <c r="H10" s="139"/>
      <c r="I10" s="29" t="str">
        <f>IF(COUNTIF(テーブル13[[#This Row],[収集情報1]:[収集情報5]],"http*"),"○","")&amp;""</f>
        <v/>
      </c>
      <c r="J10" s="30" t="str">
        <f>IFERROR(_xlfn.IFS(VLOOKUP($B10,バージョン情報の確認!$B$4:$G$1048576,3,0)&lt;&gt;VLOOKUP($B10,バージョン情報の確認!$B$4:$G$1048576,5,0),"○",VLOOKUP($B10,脆弱性の影響度確認!$B$6:$K$1048576,3,0)="〇:影響を受ける","○"),"")</f>
        <v/>
      </c>
      <c r="L10" s="55">
        <v>7</v>
      </c>
      <c r="M10" s="65" t="s">
        <v>305</v>
      </c>
      <c r="N10" s="145" t="str">
        <f>HYPERLINK(IFERROR(VLOOKUP($M10,よく使われる収集先一覧!$B$4:$C$18,2,0),""))</f>
        <v>https://us-cert.cisa.gov/ncas/current-activity</v>
      </c>
    </row>
    <row r="11" spans="1:14" ht="22.5" customHeight="1">
      <c r="A11" s="55">
        <f t="shared" si="0"/>
        <v>8</v>
      </c>
      <c r="B11" s="65" t="str">
        <f>VLOOKUP($A11,テーブル11[],2)&amp;""</f>
        <v>Microsoft Edge</v>
      </c>
      <c r="C11" s="120" t="str">
        <f>HYPERLINK(IFERROR(VLOOKUP($B11,テーブル11[[ソフトウェア]:[製品ベンダサイト（セキュリティアドバイザリ等）]],5,0),""))</f>
        <v>https://docs.microsoft.com/en-us/DeployEdge/microsoft-edge-relnotes-security</v>
      </c>
      <c r="D11" s="139" t="s">
        <v>329</v>
      </c>
      <c r="E11" s="139" t="s">
        <v>327</v>
      </c>
      <c r="F11" s="139" t="s">
        <v>328</v>
      </c>
      <c r="G11" s="139"/>
      <c r="H11" s="139"/>
      <c r="I11" s="29" t="str">
        <f>IF(COUNTIF(テーブル13[[#This Row],[収集情報1]:[収集情報5]],"http*"),"○","")&amp;""</f>
        <v>○</v>
      </c>
      <c r="J11" s="30" t="str">
        <f>IFERROR(_xlfn.IFS(VLOOKUP($B11,バージョン情報の確認!$B$4:$G$1048576,3,0)&lt;&gt;VLOOKUP($B11,バージョン情報の確認!$B$4:$G$1048576,5,0),"○",VLOOKUP($B11,脆弱性の影響度確認!$B$6:$K$1048576,3,0)="〇:影響を受ける","○"),"")</f>
        <v>○</v>
      </c>
      <c r="L11" s="55">
        <v>8</v>
      </c>
      <c r="M11" s="65" t="s">
        <v>306</v>
      </c>
      <c r="N11" s="145" t="str">
        <f>HYPERLINK(IFERROR(VLOOKUP($M11,よく使われる収集先一覧!$B$4:$C$18,2,0),""))</f>
        <v>https://www.spread.or.jp/security_info/</v>
      </c>
    </row>
    <row r="12" spans="1:14" ht="22.5" customHeight="1">
      <c r="A12" s="55">
        <f t="shared" si="0"/>
        <v>9</v>
      </c>
      <c r="B12" s="65" t="str">
        <f>VLOOKUP($A12,テーブル11[],2)&amp;""</f>
        <v>mjcheck3</v>
      </c>
      <c r="C12" s="120" t="str">
        <f>HYPERLINK(IFERROR(VLOOKUP($B12,テーブル11[[ソフトウェア]:[製品ベンダサイト（セキュリティアドバイザリ等）]],5,0),""))</f>
        <v>https://jvndb.jvn.jp/apis/myjvn/mjcheck3.html</v>
      </c>
      <c r="D12" s="140"/>
      <c r="E12" s="139"/>
      <c r="F12" s="139"/>
      <c r="G12" s="139"/>
      <c r="H12" s="139"/>
      <c r="I12" s="29" t="str">
        <f>IF(COUNTIF(テーブル13[[#This Row],[収集情報1]:[収集情報5]],"http*"),"○","")&amp;""</f>
        <v/>
      </c>
      <c r="J12" s="30" t="str">
        <f>IFERROR(_xlfn.IFS(VLOOKUP($B12,バージョン情報の確認!$B$4:$G$1048576,3,0)&lt;&gt;VLOOKUP($B12,バージョン情報の確認!$B$4:$G$1048576,5,0),"○",VLOOKUP($B12,脆弱性の影響度確認!$B$6:$K$1048576,3,0)="〇:影響を受ける","○"),"")</f>
        <v/>
      </c>
      <c r="L12" s="55">
        <v>9</v>
      </c>
      <c r="M12" s="65"/>
      <c r="N12" s="145" t="str">
        <f>HYPERLINK(IFERROR(VLOOKUP($M12,よく使われる収集先一覧!$B$4:$C$18,2,0),""))</f>
        <v/>
      </c>
    </row>
    <row r="13" spans="1:14" ht="22.5" customHeight="1">
      <c r="A13" s="55">
        <f t="shared" si="0"/>
        <v>10</v>
      </c>
      <c r="B13" s="65" t="str">
        <f>VLOOKUP($A13,テーブル11[],2)&amp;""</f>
        <v>Mozilla Firefox_ESR</v>
      </c>
      <c r="C13" s="120" t="str">
        <f>HYPERLINK(IFERROR(VLOOKUP($B13,テーブル11[[ソフトウェア]:[製品ベンダサイト（セキュリティアドバイザリ等）]],5,0),""))</f>
        <v>https://www.mozilla.org/en-US/security/known-vulnerabilities/firefox-esr/</v>
      </c>
      <c r="D13" s="139"/>
      <c r="E13" s="139"/>
      <c r="F13" s="141"/>
      <c r="G13" s="139"/>
      <c r="H13" s="139"/>
      <c r="I13" s="29" t="str">
        <f>IF(COUNTIF(テーブル13[[#This Row],[収集情報1]:[収集情報5]],"http*"),"○","")&amp;""</f>
        <v/>
      </c>
      <c r="J13" s="30" t="str">
        <f>IFERROR(_xlfn.IFS(VLOOKUP($B13,バージョン情報の確認!$B$4:$G$1048576,3,0)&lt;&gt;VLOOKUP($B13,バージョン情報の確認!$B$4:$G$1048576,5,0),"○",VLOOKUP($B13,脆弱性の影響度確認!$B$6:$K$1048576,3,0)="〇:影響を受ける","○"),"")</f>
        <v/>
      </c>
      <c r="L13" s="55">
        <v>10</v>
      </c>
      <c r="M13" s="65"/>
      <c r="N13" s="145" t="str">
        <f>HYPERLINK(IFERROR(VLOOKUP($M13,よく使われる収集先一覧!$B$4:$C$18,2,0),""))</f>
        <v/>
      </c>
    </row>
    <row r="14" spans="1:14" s="22" customFormat="1" ht="22.5" customHeight="1">
      <c r="A14" s="55">
        <f t="shared" si="0"/>
        <v>11</v>
      </c>
      <c r="B14" s="65" t="str">
        <f>VLOOKUP($A14,テーブル11[],2)&amp;""</f>
        <v>Mozilla Thunderbird</v>
      </c>
      <c r="C14" s="120" t="str">
        <f>HYPERLINK(IFERROR(VLOOKUP($B14,テーブル11[[ソフトウェア]:[製品ベンダサイト（セキュリティアドバイザリ等）]],5,0),""))</f>
        <v>https://www.mozilla.org/en-US/security/known-vulnerabilities/thunderbird/</v>
      </c>
      <c r="D14" s="139"/>
      <c r="E14" s="139"/>
      <c r="F14" s="139"/>
      <c r="G14" s="139"/>
      <c r="H14" s="139"/>
      <c r="I14" s="29" t="str">
        <f>IF(COUNTIF(テーブル13[[#This Row],[収集情報1]:[収集情報5]],"http*"),"○","")&amp;""</f>
        <v/>
      </c>
      <c r="J14" s="30" t="str">
        <f>IFERROR(_xlfn.IFS(VLOOKUP($B14,バージョン情報の確認!$B$4:$G$1048576,3,0)&lt;&gt;VLOOKUP($B14,バージョン情報の確認!$B$4:$G$1048576,5,0),"○",VLOOKUP($B14,脆弱性の影響度確認!$B$6:$K$1048576,3,0)="〇:影響を受ける","○"),"")</f>
        <v/>
      </c>
      <c r="M14" s="24"/>
    </row>
    <row r="15" spans="1:14" s="22" customFormat="1" ht="22.5" customHeight="1">
      <c r="A15" s="55">
        <f t="shared" si="0"/>
        <v>12</v>
      </c>
      <c r="B15" s="65" t="str">
        <f>VLOOKUP($A15,テーブル11[],2)&amp;""</f>
        <v>MyJVNバージョンチェッカ for .NET</v>
      </c>
      <c r="C15" s="120" t="str">
        <f>HYPERLINK(IFERROR(VLOOKUP($B15,テーブル11[[ソフトウェア]:[製品ベンダサイト（セキュリティアドバイザリ等）]],5,0),""))</f>
        <v>https://jvndb.jvn.jp/apis/myjvn/vccheckdotnet.html</v>
      </c>
      <c r="D15" s="139"/>
      <c r="E15" s="139"/>
      <c r="F15" s="139"/>
      <c r="G15" s="139"/>
      <c r="H15" s="139"/>
      <c r="I15" s="29" t="str">
        <f>IF(COUNTIF(テーブル13[[#This Row],[収集情報1]:[収集情報5]],"http*"),"○","")&amp;""</f>
        <v/>
      </c>
      <c r="J15" s="30" t="str">
        <f>IFERROR(_xlfn.IFS(VLOOKUP($B15,バージョン情報の確認!$B$4:$G$1048576,3,0)&lt;&gt;VLOOKUP($B15,バージョン情報の確認!$B$4:$G$1048576,5,0),"○",VLOOKUP($B15,脆弱性の影響度確認!$B$6:$K$1048576,3,0)="〇:影響を受ける","○"),"")</f>
        <v/>
      </c>
      <c r="L15" s="131" t="s">
        <v>3</v>
      </c>
      <c r="M15" s="111" t="s">
        <v>27</v>
      </c>
      <c r="N15" s="111" t="s">
        <v>16</v>
      </c>
    </row>
    <row r="16" spans="1:14" ht="22.5" customHeight="1">
      <c r="A16" s="55">
        <f t="shared" si="0"/>
        <v>13</v>
      </c>
      <c r="B16" s="65" t="str">
        <f>VLOOKUP($A16,テーブル11[],2)&amp;""</f>
        <v>Tera Term</v>
      </c>
      <c r="C16" s="120" t="str">
        <f>HYPERLINK(IFERROR(VLOOKUP($B16,テーブル11[[ソフトウェア]:[製品ベンダサイト（セキュリティアドバイザリ等）]],5,0),""))</f>
        <v>https://osdn.net/projects/ttssh2/releases/p7801</v>
      </c>
      <c r="D16" s="139"/>
      <c r="E16" s="139"/>
      <c r="F16" s="139"/>
      <c r="G16" s="139"/>
      <c r="H16" s="139"/>
      <c r="I16" s="29" t="str">
        <f>IF(COUNTIF(テーブル13[[#This Row],[収集情報1]:[収集情報5]],"http*"),"○","")&amp;""</f>
        <v/>
      </c>
      <c r="J16" s="30" t="str">
        <f>IFERROR(_xlfn.IFS(VLOOKUP($B16,バージョン情報の確認!$B$4:$G$1048576,3,0)&lt;&gt;VLOOKUP($B16,バージョン情報の確認!$B$4:$G$1048576,5,0),"○",VLOOKUP($B16,脆弱性の影響度確認!$B$6:$K$1048576,3,0)="〇:影響を受ける","○"),"")</f>
        <v/>
      </c>
      <c r="L16" s="55">
        <v>1</v>
      </c>
      <c r="M16" s="65" t="s">
        <v>307</v>
      </c>
      <c r="N16" s="145" t="str">
        <f>HYPERLINK(IFERROR(VLOOKUP($M16,よく使われる収集先一覧!$B$21:$C$35,2,0),""))</f>
        <v>https://jvn.jp/</v>
      </c>
    </row>
    <row r="17" spans="1:14" ht="22.5" customHeight="1">
      <c r="A17" s="55">
        <f t="shared" si="0"/>
        <v>14</v>
      </c>
      <c r="B17" s="65" t="str">
        <f>VLOOKUP($A17,テーブル11[],2)&amp;""</f>
        <v>VMware Workstation</v>
      </c>
      <c r="C17" s="120" t="str">
        <f>HYPERLINK(IFERROR(VLOOKUP($B17,テーブル11[[ソフトウェア]:[製品ベンダサイト（セキュリティアドバイザリ等）]],5,0),""))</f>
        <v>https://www.vmware.com/security/advisories.html</v>
      </c>
      <c r="D17" s="139"/>
      <c r="E17" s="139"/>
      <c r="F17" s="139"/>
      <c r="G17" s="139"/>
      <c r="H17" s="139"/>
      <c r="I17" s="29" t="str">
        <f>IF(COUNTIF(テーブル13[[#This Row],[収集情報1]:[収集情報5]],"http*"),"○","")&amp;""</f>
        <v/>
      </c>
      <c r="J17" s="30" t="str">
        <f>IFERROR(_xlfn.IFS(VLOOKUP($B17,バージョン情報の確認!$B$4:$G$1048576,3,0)&lt;&gt;VLOOKUP($B17,バージョン情報の確認!$B$4:$G$1048576,5,0),"○",VLOOKUP($B17,脆弱性の影響度確認!$B$6:$K$1048576,3,0)="〇:影響を受ける","○"),"")</f>
        <v/>
      </c>
      <c r="L17" s="55">
        <v>2</v>
      </c>
      <c r="M17" s="66" t="s">
        <v>24</v>
      </c>
      <c r="N17" s="145" t="str">
        <f>HYPERLINK(IFERROR(VLOOKUP($M17,よく使われる収集先一覧!$B$21:$C$35,2,0),""))</f>
        <v>https://jvndb.jvn.jp/index.html</v>
      </c>
    </row>
    <row r="18" spans="1:14" ht="22.5" customHeight="1">
      <c r="A18" s="55">
        <f t="shared" si="0"/>
        <v>15</v>
      </c>
      <c r="B18" s="65" t="str">
        <f>VLOOKUP($A18,テーブル11[],2)&amp;""</f>
        <v>WinSCP</v>
      </c>
      <c r="C18" s="120" t="str">
        <f>HYPERLINK(IFERROR(VLOOKUP($B18,テーブル11[[ソフトウェア]:[製品ベンダサイト（セキュリティアドバイザリ等）]],5,0),""))</f>
        <v>https://winscp.net/eng/docs/history</v>
      </c>
      <c r="D18" s="140"/>
      <c r="E18" s="139"/>
      <c r="F18" s="139"/>
      <c r="G18" s="139"/>
      <c r="H18" s="139"/>
      <c r="I18" s="29" t="str">
        <f>IF(COUNTIF(テーブル13[[#This Row],[収集情報1]:[収集情報5]],"http*"),"○","")&amp;""</f>
        <v/>
      </c>
      <c r="J18" s="30" t="str">
        <f>IFERROR(_xlfn.IFS(VLOOKUP($B18,バージョン情報の確認!$B$4:$G$1048576,3,0)&lt;&gt;VLOOKUP($B18,バージョン情報の確認!$B$4:$G$1048576,5,0),"○",VLOOKUP($B18,脆弱性の影響度確認!$B$6:$K$1048576,3,0)="〇:影響を受ける","○"),"")</f>
        <v/>
      </c>
      <c r="L18" s="55">
        <v>3</v>
      </c>
      <c r="M18" s="65" t="s">
        <v>13</v>
      </c>
      <c r="N18" s="145" t="str">
        <f>HYPERLINK(IFERROR(VLOOKUP($M18,よく使われる収集先一覧!$B$21:$C$35,2,0),""))</f>
        <v>https://nvd.nist.gov/vuln/search</v>
      </c>
    </row>
    <row r="19" spans="1:14" ht="22.5" customHeight="1">
      <c r="A19" s="55">
        <f t="shared" si="0"/>
        <v>16</v>
      </c>
      <c r="B19" s="65" t="str">
        <f>VLOOKUP($A19,テーブル11[],2)&amp;""</f>
        <v/>
      </c>
      <c r="C19" s="120" t="str">
        <f>HYPERLINK(IFERROR(VLOOKUP($B19,テーブル11[[ソフトウェア]:[製品ベンダサイト（セキュリティアドバイザリ等）]],5,0),""))</f>
        <v/>
      </c>
      <c r="D19" s="139"/>
      <c r="E19" s="140"/>
      <c r="F19" s="139"/>
      <c r="G19" s="139"/>
      <c r="H19" s="139"/>
      <c r="I19" s="29" t="str">
        <f>IF(COUNTIF(テーブル13[[#This Row],[収集情報1]:[収集情報5]],"http*"),"○","")&amp;""</f>
        <v/>
      </c>
      <c r="J19" s="30" t="str">
        <f>IFERROR(_xlfn.IFS(VLOOKUP($B19,バージョン情報の確認!$B$4:$G$1048576,3,0)&lt;&gt;VLOOKUP($B19,バージョン情報の確認!$B$4:$G$1048576,5,0),"○",VLOOKUP($B19,脆弱性の影響度確認!$B$6:$K$1048576,3,0)="〇:影響を受ける","○"),"")</f>
        <v/>
      </c>
      <c r="L19" s="55">
        <v>4</v>
      </c>
      <c r="M19" s="33" t="s">
        <v>12</v>
      </c>
      <c r="N19" s="145" t="str">
        <f>HYPERLINK(IFERROR(VLOOKUP($M19,よく使われる収集先一覧!$B$21:$C$35,2,0),""))</f>
        <v>https://www.kb.cert.org/vuls/</v>
      </c>
    </row>
    <row r="20" spans="1:14" ht="22.5" customHeight="1">
      <c r="A20" s="55">
        <f t="shared" si="0"/>
        <v>17</v>
      </c>
      <c r="B20" s="65" t="str">
        <f>VLOOKUP($A20,テーブル11[],2)&amp;""</f>
        <v/>
      </c>
      <c r="C20" s="120" t="str">
        <f>HYPERLINK(IFERROR(VLOOKUP($B20,テーブル11[[ソフトウェア]:[製品ベンダサイト（セキュリティアドバイザリ等）]],5,0),""))</f>
        <v/>
      </c>
      <c r="D20" s="139"/>
      <c r="E20" s="139"/>
      <c r="F20" s="139"/>
      <c r="G20" s="139"/>
      <c r="H20" s="139"/>
      <c r="I20" s="29" t="str">
        <f>IF(COUNTIF(テーブル13[[#This Row],[収集情報1]:[収集情報5]],"http*"),"○","")&amp;""</f>
        <v/>
      </c>
      <c r="J20" s="30" t="str">
        <f>IFERROR(_xlfn.IFS(VLOOKUP($B20,バージョン情報の確認!$B$4:$G$1048576,3,0)&lt;&gt;VLOOKUP($B20,バージョン情報の確認!$B$4:$G$1048576,5,0),"○",VLOOKUP($B20,脆弱性の影響度確認!$B$6:$K$1048576,3,0)="〇:影響を受ける","○"),"")</f>
        <v/>
      </c>
      <c r="L20" s="55">
        <v>5</v>
      </c>
      <c r="M20" s="66" t="s">
        <v>22</v>
      </c>
      <c r="N20" s="145" t="str">
        <f>HYPERLINK(IFERROR(VLOOKUP($M20,よく使われる収集先一覧!$B$21:$C$35,2,0),""))</f>
        <v>https://www.exploit-db.com/</v>
      </c>
    </row>
    <row r="21" spans="1:14" ht="22.5" customHeight="1">
      <c r="A21" s="55">
        <f t="shared" si="0"/>
        <v>18</v>
      </c>
      <c r="B21" s="65" t="str">
        <f>VLOOKUP($A21,テーブル11[],2)&amp;""</f>
        <v/>
      </c>
      <c r="C21" s="120" t="str">
        <f>HYPERLINK(IFERROR(VLOOKUP($B21,テーブル11[[ソフトウェア]:[製品ベンダサイト（セキュリティアドバイザリ等）]],5,0),""))</f>
        <v/>
      </c>
      <c r="D21" s="140"/>
      <c r="E21" s="139"/>
      <c r="F21" s="139"/>
      <c r="G21" s="139"/>
      <c r="H21" s="139"/>
      <c r="I21" s="29" t="str">
        <f>IF(COUNTIF(テーブル13[[#This Row],[収集情報1]:[収集情報5]],"http*"),"○","")&amp;""</f>
        <v/>
      </c>
      <c r="J21" s="30" t="str">
        <f>IFERROR(_xlfn.IFS(VLOOKUP($B21,バージョン情報の確認!$B$4:$G$1048576,3,0)&lt;&gt;VLOOKUP($B21,バージョン情報の確認!$B$4:$G$1048576,5,0),"○",VLOOKUP($B21,脆弱性の影響度確認!$B$6:$K$1048576,3,0)="〇:影響を受ける","○"),"")</f>
        <v/>
      </c>
      <c r="L21" s="55">
        <v>6</v>
      </c>
      <c r="M21" s="66"/>
      <c r="N21" s="145" t="str">
        <f>HYPERLINK(IFERROR(VLOOKUP($M21,よく使われる収集先一覧!$B$21:$C$35,2,0),""))</f>
        <v/>
      </c>
    </row>
    <row r="22" spans="1:14" ht="22.5" customHeight="1">
      <c r="A22" s="55">
        <f t="shared" si="0"/>
        <v>19</v>
      </c>
      <c r="B22" s="65" t="str">
        <f>VLOOKUP($A22,テーブル11[],2)&amp;""</f>
        <v/>
      </c>
      <c r="C22" s="120" t="str">
        <f>HYPERLINK(IFERROR(VLOOKUP($B22,テーブル11[[ソフトウェア]:[製品ベンダサイト（セキュリティアドバイザリ等）]],5,0),""))</f>
        <v/>
      </c>
      <c r="D22" s="139"/>
      <c r="E22" s="139"/>
      <c r="F22" s="139"/>
      <c r="G22" s="139"/>
      <c r="H22" s="139"/>
      <c r="I22" s="29" t="str">
        <f>IF(COUNTIF(テーブル13[[#This Row],[収集情報1]:[収集情報5]],"http*"),"○","")&amp;""</f>
        <v/>
      </c>
      <c r="J22" s="30" t="str">
        <f>IFERROR(_xlfn.IFS(VLOOKUP($B22,バージョン情報の確認!$B$4:$G$1048576,3,0)&lt;&gt;VLOOKUP($B22,バージョン情報の確認!$B$4:$G$1048576,5,0),"○",VLOOKUP($B22,脆弱性の影響度確認!$B$6:$K$1048576,3,0)="〇:影響を受ける","○"),"")</f>
        <v/>
      </c>
      <c r="L22" s="55">
        <v>7</v>
      </c>
      <c r="M22" s="66"/>
      <c r="N22" s="145" t="str">
        <f>HYPERLINK(IFERROR(VLOOKUP($M22,よく使われる収集先一覧!$B$21:$C$35,2,0),""))</f>
        <v/>
      </c>
    </row>
    <row r="23" spans="1:14" ht="22.5" customHeight="1">
      <c r="A23" s="55">
        <f t="shared" si="0"/>
        <v>20</v>
      </c>
      <c r="B23" s="65" t="str">
        <f>VLOOKUP($A23,テーブル11[],2)&amp;""</f>
        <v/>
      </c>
      <c r="C23" s="120" t="str">
        <f>HYPERLINK(IFERROR(VLOOKUP($B23,テーブル11[[ソフトウェア]:[製品ベンダサイト（セキュリティアドバイザリ等）]],5,0),""))</f>
        <v/>
      </c>
      <c r="D23" s="139"/>
      <c r="E23" s="140"/>
      <c r="F23" s="139"/>
      <c r="G23" s="139"/>
      <c r="H23" s="139"/>
      <c r="I23" s="29" t="str">
        <f>IF(COUNTIF(テーブル13[[#This Row],[収集情報1]:[収集情報5]],"http*"),"○","")&amp;""</f>
        <v/>
      </c>
      <c r="J23" s="30" t="str">
        <f>IFERROR(_xlfn.IFS(VLOOKUP($B23,バージョン情報の確認!$B$4:$G$1048576,3,0)&lt;&gt;VLOOKUP($B23,バージョン情報の確認!$B$4:$G$1048576,5,0),"○",VLOOKUP($B23,脆弱性の影響度確認!$B$6:$K$1048576,3,0)="〇:影響を受ける","○"),"")</f>
        <v/>
      </c>
      <c r="L23" s="55">
        <v>8</v>
      </c>
      <c r="M23" s="66"/>
      <c r="N23" s="145" t="str">
        <f>HYPERLINK(IFERROR(VLOOKUP($M23,よく使われる収集先一覧!$B$21:$C$35,2,0),""))</f>
        <v/>
      </c>
    </row>
    <row r="24" spans="1:14" ht="22.5" customHeight="1">
      <c r="A24" s="55">
        <f t="shared" si="0"/>
        <v>21</v>
      </c>
      <c r="B24" s="65" t="str">
        <f>VLOOKUP($A24,テーブル11[],2)&amp;""</f>
        <v/>
      </c>
      <c r="C24" s="120" t="str">
        <f>HYPERLINK(IFERROR(VLOOKUP($B24,テーブル11[[ソフトウェア]:[製品ベンダサイト（セキュリティアドバイザリ等）]],5,0),""))</f>
        <v/>
      </c>
      <c r="D24" s="139"/>
      <c r="E24" s="139"/>
      <c r="F24" s="139"/>
      <c r="G24" s="139"/>
      <c r="H24" s="139"/>
      <c r="I24" s="29" t="str">
        <f>IF(COUNTIF(テーブル13[[#This Row],[収集情報1]:[収集情報5]],"http*"),"○","")&amp;""</f>
        <v/>
      </c>
      <c r="J24" s="30" t="str">
        <f>IFERROR(_xlfn.IFS(VLOOKUP($B24,バージョン情報の確認!$B$4:$G$1048576,3,0)&lt;&gt;VLOOKUP($B24,バージョン情報の確認!$B$4:$G$1048576,5,0),"○",VLOOKUP($B24,脆弱性の影響度確認!$B$6:$K$1048576,3,0)="〇:影響を受ける","○"),"")</f>
        <v/>
      </c>
      <c r="L24" s="55">
        <v>9</v>
      </c>
      <c r="M24" s="66"/>
      <c r="N24" s="145" t="str">
        <f>HYPERLINK(IFERROR(VLOOKUP($M24,よく使われる収集先一覧!$B$21:$C$35,2,0),""))</f>
        <v/>
      </c>
    </row>
    <row r="25" spans="1:14" ht="22.5" customHeight="1">
      <c r="A25" s="55">
        <f t="shared" si="0"/>
        <v>22</v>
      </c>
      <c r="B25" s="65" t="str">
        <f>VLOOKUP($A25,テーブル11[],2)&amp;""</f>
        <v/>
      </c>
      <c r="C25" s="120" t="str">
        <f>HYPERLINK(IFERROR(VLOOKUP($B25,テーブル11[[ソフトウェア]:[製品ベンダサイト（セキュリティアドバイザリ等）]],5,0),""))</f>
        <v/>
      </c>
      <c r="D25" s="139"/>
      <c r="E25" s="139"/>
      <c r="F25" s="139"/>
      <c r="G25" s="139"/>
      <c r="H25" s="139"/>
      <c r="I25" s="29" t="str">
        <f>IF(COUNTIF(テーブル13[[#This Row],[収集情報1]:[収集情報5]],"http*"),"○","")&amp;""</f>
        <v/>
      </c>
      <c r="J25" s="30" t="str">
        <f>IFERROR(_xlfn.IFS(VLOOKUP($B25,バージョン情報の確認!$B$4:$G$1048576,3,0)&lt;&gt;VLOOKUP($B25,バージョン情報の確認!$B$4:$G$1048576,5,0),"○",VLOOKUP($B25,脆弱性の影響度確認!$B$6:$K$1048576,3,0)="〇:影響を受ける","○"),"")</f>
        <v/>
      </c>
      <c r="L25" s="55">
        <v>10</v>
      </c>
      <c r="M25" s="67"/>
      <c r="N25" s="145" t="str">
        <f>HYPERLINK(IFERROR(VLOOKUP($M25,よく使われる収集先一覧!$B$21:$C$35,2,0),""))</f>
        <v/>
      </c>
    </row>
    <row r="26" spans="1:14" s="22" customFormat="1" ht="22.5" customHeight="1">
      <c r="A26" s="55">
        <f t="shared" si="0"/>
        <v>23</v>
      </c>
      <c r="B26" s="65" t="str">
        <f>VLOOKUP($A26,テーブル11[],2)&amp;""</f>
        <v/>
      </c>
      <c r="C26" s="120" t="str">
        <f>HYPERLINK(IFERROR(VLOOKUP($B26,テーブル11[[ソフトウェア]:[製品ベンダサイト（セキュリティアドバイザリ等）]],5,0),""))</f>
        <v/>
      </c>
      <c r="D26" s="139"/>
      <c r="E26" s="139"/>
      <c r="F26" s="139"/>
      <c r="G26" s="139"/>
      <c r="H26" s="139"/>
      <c r="I26" s="29" t="str">
        <f>IF(COUNTIF(テーブル13[[#This Row],[収集情報1]:[収集情報5]],"http*"),"○","")&amp;""</f>
        <v/>
      </c>
      <c r="J26" s="30" t="str">
        <f>IFERROR(_xlfn.IFS(VLOOKUP($B26,バージョン情報の確認!$B$4:$G$1048576,3,0)&lt;&gt;VLOOKUP($B26,バージョン情報の確認!$B$4:$G$1048576,5,0),"○",VLOOKUP($B26,脆弱性の影響度確認!$B$6:$K$1048576,3,0)="〇:影響を受ける","○"),"")</f>
        <v/>
      </c>
      <c r="M26" s="33"/>
      <c r="N26" s="33"/>
    </row>
    <row r="27" spans="1:14" s="22" customFormat="1" ht="22.5" customHeight="1">
      <c r="A27" s="55">
        <f t="shared" si="0"/>
        <v>24</v>
      </c>
      <c r="B27" s="65" t="str">
        <f>VLOOKUP($A27,テーブル11[],2)&amp;""</f>
        <v/>
      </c>
      <c r="C27" s="120" t="str">
        <f>HYPERLINK(IFERROR(VLOOKUP($B27,テーブル11[[ソフトウェア]:[製品ベンダサイト（セキュリティアドバイザリ等）]],5,0),""))</f>
        <v/>
      </c>
      <c r="D27" s="139"/>
      <c r="E27" s="139"/>
      <c r="F27" s="139"/>
      <c r="G27" s="139"/>
      <c r="H27" s="139"/>
      <c r="I27" s="29" t="str">
        <f>IF(COUNTIF(テーブル13[[#This Row],[収集情報1]:[収集情報5]],"http*"),"○","")&amp;""</f>
        <v/>
      </c>
      <c r="J27" s="30" t="str">
        <f>IFERROR(_xlfn.IFS(VLOOKUP($B27,バージョン情報の確認!$B$4:$G$1048576,3,0)&lt;&gt;VLOOKUP($B27,バージョン情報の確認!$B$4:$G$1048576,5,0),"○",VLOOKUP($B27,脆弱性の影響度確認!$B$6:$K$1048576,3,0)="〇:影響を受ける","○"),"")</f>
        <v/>
      </c>
      <c r="L27" s="127" t="s">
        <v>3</v>
      </c>
      <c r="M27" s="128" t="s">
        <v>18</v>
      </c>
      <c r="N27" s="129" t="s">
        <v>16</v>
      </c>
    </row>
    <row r="28" spans="1:14" ht="22.5" customHeight="1">
      <c r="A28" s="55">
        <f t="shared" si="0"/>
        <v>25</v>
      </c>
      <c r="B28" s="65" t="str">
        <f>VLOOKUP($A28,テーブル11[],2)&amp;""</f>
        <v/>
      </c>
      <c r="C28" s="120" t="str">
        <f>HYPERLINK(IFERROR(VLOOKUP($B28,テーブル11[[ソフトウェア]:[製品ベンダサイト（セキュリティアドバイザリ等）]],5,0),""))</f>
        <v/>
      </c>
      <c r="D28" s="139"/>
      <c r="E28" s="139"/>
      <c r="F28" s="139"/>
      <c r="G28" s="139"/>
      <c r="H28" s="139"/>
      <c r="I28" s="29" t="str">
        <f>IF(COUNTIF(テーブル13[[#This Row],[収集情報1]:[収集情報5]],"http*"),"○","")&amp;""</f>
        <v/>
      </c>
      <c r="J28" s="30" t="str">
        <f>IFERROR(_xlfn.IFS(VLOOKUP($B28,バージョン情報の確認!$B$4:$G$1048576,3,0)&lt;&gt;VLOOKUP($B28,バージョン情報の確認!$B$4:$G$1048576,5,0),"○",VLOOKUP($B28,脆弱性の影響度確認!$B$6:$K$1048576,3,0)="〇:影響を受ける","○"),"")</f>
        <v/>
      </c>
      <c r="L28" s="55">
        <v>1</v>
      </c>
      <c r="M28" s="65" t="s">
        <v>308</v>
      </c>
      <c r="N28" s="145" t="str">
        <f>HYPERLINK(IFERROR(VLOOKUP($M28,よく使われる収集先一覧!$B$38:$C$57,2,0),""))</f>
        <v>https://tech.nikkeibp.co.jp/genre/security/</v>
      </c>
    </row>
    <row r="29" spans="1:14" ht="22.5" customHeight="1">
      <c r="A29" s="55">
        <f t="shared" si="0"/>
        <v>26</v>
      </c>
      <c r="B29" s="65" t="str">
        <f>VLOOKUP($A29,テーブル11[],2)&amp;""</f>
        <v/>
      </c>
      <c r="C29" s="120" t="str">
        <f>HYPERLINK(IFERROR(VLOOKUP($B29,テーブル11[[ソフトウェア]:[製品ベンダサイト（セキュリティアドバイザリ等）]],5,0),""))</f>
        <v/>
      </c>
      <c r="D29" s="139"/>
      <c r="E29" s="139"/>
      <c r="F29" s="139"/>
      <c r="G29" s="139"/>
      <c r="H29" s="139"/>
      <c r="I29" s="29" t="str">
        <f>IF(COUNTIF(テーブル13[[#This Row],[収集情報1]:[収集情報5]],"http*"),"○","")&amp;""</f>
        <v/>
      </c>
      <c r="J29" s="30" t="str">
        <f>IFERROR(_xlfn.IFS(VLOOKUP($B29,バージョン情報の確認!$B$4:$G$1048576,3,0)&lt;&gt;VLOOKUP($B29,バージョン情報の確認!$B$4:$G$1048576,5,0),"○",VLOOKUP($B29,脆弱性の影響度確認!$B$6:$K$1048576,3,0)="〇:影響を受ける","○"),"")</f>
        <v/>
      </c>
      <c r="L29" s="55">
        <v>2</v>
      </c>
      <c r="M29" s="65" t="s">
        <v>309</v>
      </c>
      <c r="N29" s="145" t="str">
        <f>HYPERLINK(IFERROR(VLOOKUP($M29,よく使われる収集先一覧!$B$38:$C$57,2,0),""))</f>
        <v>https://www.itmedia.co.jp/enterprise/subtop/security/index.html</v>
      </c>
    </row>
    <row r="30" spans="1:14" ht="22.5" customHeight="1">
      <c r="A30" s="55">
        <f t="shared" si="0"/>
        <v>27</v>
      </c>
      <c r="B30" s="65" t="str">
        <f>VLOOKUP($A30,テーブル11[],2)&amp;""</f>
        <v/>
      </c>
      <c r="C30" s="120" t="str">
        <f>HYPERLINK(IFERROR(VLOOKUP($B30,テーブル11[[ソフトウェア]:[製品ベンダサイト（セキュリティアドバイザリ等）]],5,0),""))</f>
        <v/>
      </c>
      <c r="D30" s="139"/>
      <c r="E30" s="139"/>
      <c r="F30" s="139"/>
      <c r="G30" s="139"/>
      <c r="H30" s="139"/>
      <c r="I30" s="29" t="str">
        <f>IF(COUNTIF(テーブル13[[#This Row],[収集情報1]:[収集情報5]],"http*"),"○","")&amp;""</f>
        <v/>
      </c>
      <c r="J30" s="30" t="str">
        <f>IFERROR(_xlfn.IFS(VLOOKUP($B30,バージョン情報の確認!$B$4:$G$1048576,3,0)&lt;&gt;VLOOKUP($B30,バージョン情報の確認!$B$4:$G$1048576,5,0),"○",VLOOKUP($B30,脆弱性の影響度確認!$B$6:$K$1048576,3,0)="〇:影響を受ける","○"),"")</f>
        <v/>
      </c>
      <c r="L30" s="55">
        <v>3</v>
      </c>
      <c r="M30" s="65" t="s">
        <v>310</v>
      </c>
      <c r="N30" s="145" t="str">
        <f>HYPERLINK(IFERROR(VLOOKUP($M30,よく使われる収集先一覧!$B$38:$C$57,2,0),""))</f>
        <v>https://scan.netsecurity.ne.jp/</v>
      </c>
    </row>
    <row r="31" spans="1:14" ht="22.5" customHeight="1">
      <c r="A31" s="55">
        <f t="shared" si="0"/>
        <v>28</v>
      </c>
      <c r="B31" s="65" t="str">
        <f>VLOOKUP($A31,テーブル11[],2)&amp;""</f>
        <v/>
      </c>
      <c r="C31" s="120" t="str">
        <f>HYPERLINK(IFERROR(VLOOKUP($B31,テーブル11[[ソフトウェア]:[製品ベンダサイト（セキュリティアドバイザリ等）]],5,0),""))</f>
        <v/>
      </c>
      <c r="D31" s="139"/>
      <c r="E31" s="139"/>
      <c r="F31" s="139"/>
      <c r="G31" s="139"/>
      <c r="H31" s="139"/>
      <c r="I31" s="29" t="str">
        <f>IF(COUNTIF(テーブル13[[#This Row],[収集情報1]:[収集情報5]],"http*"),"○","")&amp;""</f>
        <v/>
      </c>
      <c r="J31" s="30" t="str">
        <f>IFERROR(_xlfn.IFS(VLOOKUP($B31,バージョン情報の確認!$B$4:$G$1048576,3,0)&lt;&gt;VLOOKUP($B31,バージョン情報の確認!$B$4:$G$1048576,5,0),"○",VLOOKUP($B31,脆弱性の影響度確認!$B$6:$K$1048576,3,0)="〇:影響を受ける","○"),"")</f>
        <v/>
      </c>
      <c r="L31" s="55">
        <v>4</v>
      </c>
      <c r="M31" s="65" t="s">
        <v>311</v>
      </c>
      <c r="N31" s="145" t="str">
        <f>HYPERLINK(IFERROR(VLOOKUP($M31,よく使われる収集先一覧!$B$38:$C$57,2,0),""))</f>
        <v>https://forest.watch.impress.co.jp/</v>
      </c>
    </row>
    <row r="32" spans="1:14" ht="22.5" customHeight="1">
      <c r="A32" s="55">
        <f t="shared" si="0"/>
        <v>29</v>
      </c>
      <c r="B32" s="65" t="str">
        <f>VLOOKUP($A32,テーブル11[],2)&amp;""</f>
        <v/>
      </c>
      <c r="C32" s="120" t="str">
        <f>HYPERLINK(IFERROR(VLOOKUP($B32,テーブル11[[ソフトウェア]:[製品ベンダサイト（セキュリティアドバイザリ等）]],5,0),""))</f>
        <v/>
      </c>
      <c r="D32" s="139"/>
      <c r="E32" s="139"/>
      <c r="F32" s="139"/>
      <c r="G32" s="139"/>
      <c r="H32" s="139"/>
      <c r="I32" s="29" t="str">
        <f>IF(COUNTIF(テーブル13[[#This Row],[収集情報1]:[収集情報5]],"http*"),"○","")&amp;""</f>
        <v/>
      </c>
      <c r="J32" s="30" t="str">
        <f>IFERROR(_xlfn.IFS(VLOOKUP($B32,バージョン情報の確認!$B$4:$G$1048576,3,0)&lt;&gt;VLOOKUP($B32,バージョン情報の確認!$B$4:$G$1048576,5,0),"○",VLOOKUP($B32,脆弱性の影響度確認!$B$6:$K$1048576,3,0)="〇:影響を受ける","○"),"")</f>
        <v/>
      </c>
      <c r="L32" s="55">
        <v>5</v>
      </c>
      <c r="M32" s="65" t="s">
        <v>63</v>
      </c>
      <c r="N32" s="145" t="str">
        <f>HYPERLINK(IFERROR(VLOOKUP($M32,よく使われる収集先一覧!$B$38:$C$57,2,0),""))</f>
        <v>https://www.security-next.com/</v>
      </c>
    </row>
    <row r="33" spans="1:14" ht="22.5" customHeight="1">
      <c r="A33" s="70">
        <f t="shared" si="0"/>
        <v>30</v>
      </c>
      <c r="B33" s="65" t="str">
        <f>VLOOKUP($A33,テーブル11[],2)&amp;""</f>
        <v/>
      </c>
      <c r="C33" s="120" t="str">
        <f>HYPERLINK(IFERROR(VLOOKUP($B33,テーブル11[[ソフトウェア]:[製品ベンダサイト（セキュリティアドバイザリ等）]],5,0),""))</f>
        <v/>
      </c>
      <c r="D33" s="139"/>
      <c r="E33" s="139"/>
      <c r="F33" s="139"/>
      <c r="G33" s="139"/>
      <c r="H33" s="139"/>
      <c r="I33" s="29" t="str">
        <f>IF(COUNTIF(テーブル13[[#This Row],[収集情報1]:[収集情報5]],"http*"),"○","")&amp;""</f>
        <v/>
      </c>
      <c r="J33" s="30" t="str">
        <f>IFERROR(_xlfn.IFS(VLOOKUP($B33,バージョン情報の確認!$B$4:$G$1048576,3,0)&lt;&gt;VLOOKUP($B33,バージョン情報の確認!$B$4:$G$1048576,5,0),"○",VLOOKUP($B33,脆弱性の影響度確認!$B$6:$K$1048576,3,0)="〇:影響を受ける","○"),"")</f>
        <v/>
      </c>
      <c r="L33" s="55">
        <v>6</v>
      </c>
      <c r="M33" s="65" t="s">
        <v>312</v>
      </c>
      <c r="N33" s="145" t="str">
        <f>HYPERLINK(IFERROR(VLOOKUP($M33,よく使われる収集先一覧!$B$38:$C$57,2,0),""))</f>
        <v>https://news.yahoo.co.jp/categories/it</v>
      </c>
    </row>
    <row r="34" spans="1:14" ht="22.5" customHeight="1">
      <c r="A34" s="70">
        <f t="shared" si="0"/>
        <v>31</v>
      </c>
      <c r="B34" s="65" t="str">
        <f>VLOOKUP($A34,テーブル11[],2)&amp;""</f>
        <v/>
      </c>
      <c r="C34" s="120" t="str">
        <f>HYPERLINK(IFERROR(VLOOKUP($B34,テーブル11[[ソフトウェア]:[製品ベンダサイト（セキュリティアドバイザリ等）]],5,0),""))</f>
        <v/>
      </c>
      <c r="D34" s="139"/>
      <c r="E34" s="139"/>
      <c r="F34" s="139"/>
      <c r="G34" s="139"/>
      <c r="H34" s="139"/>
      <c r="I34" s="29" t="str">
        <f>IF(COUNTIF(テーブル13[[#This Row],[収集情報1]:[収集情報5]],"http*"),"○","")&amp;""</f>
        <v/>
      </c>
      <c r="J34" s="30" t="str">
        <f>IFERROR(_xlfn.IFS(VLOOKUP($B34,バージョン情報の確認!$B$4:$G$1048576,3,0)&lt;&gt;VLOOKUP($B34,バージョン情報の確認!$B$4:$G$1048576,5,0),"○",VLOOKUP($B34,脆弱性の影響度確認!$B$6:$K$1048576,3,0)="〇:影響を受ける","○"),"")</f>
        <v/>
      </c>
      <c r="L34" s="55">
        <v>7</v>
      </c>
      <c r="M34" s="65" t="s">
        <v>313</v>
      </c>
      <c r="N34" s="145" t="str">
        <f>HYPERLINK(IFERROR(VLOOKUP($M34,よく使われる収集先一覧!$B$38:$C$57,2,0),""))</f>
        <v>https://www.bleepingcomputer.com/</v>
      </c>
    </row>
    <row r="35" spans="1:14" ht="22.5" customHeight="1">
      <c r="A35" s="70">
        <f t="shared" ref="A35:A52" si="1">ROW()-3</f>
        <v>32</v>
      </c>
      <c r="B35" s="65" t="str">
        <f>VLOOKUP($A35,テーブル11[],2)&amp;""</f>
        <v/>
      </c>
      <c r="C35" s="120" t="str">
        <f>HYPERLINK(IFERROR(VLOOKUP($B35,テーブル11[[ソフトウェア]:[製品ベンダサイト（セキュリティアドバイザリ等）]],5,0),""))</f>
        <v/>
      </c>
      <c r="D35" s="139"/>
      <c r="E35" s="139"/>
      <c r="F35" s="139"/>
      <c r="G35" s="139"/>
      <c r="H35" s="139"/>
      <c r="I35" s="29" t="str">
        <f>IF(COUNTIF(テーブル13[[#This Row],[収集情報1]:[収集情報5]],"http*"),"○","")&amp;""</f>
        <v/>
      </c>
      <c r="J35" s="30" t="str">
        <f>IFERROR(_xlfn.IFS(VLOOKUP($B35,バージョン情報の確認!$B$4:$G$1048576,3,0)&lt;&gt;VLOOKUP($B35,バージョン情報の確認!$B$4:$G$1048576,5,0),"○",VLOOKUP($B35,脆弱性の影響度確認!$B$6:$K$1048576,3,0)="〇:影響を受ける","○"),"")</f>
        <v/>
      </c>
      <c r="L35" s="55">
        <v>8</v>
      </c>
      <c r="M35" s="65" t="s">
        <v>314</v>
      </c>
      <c r="N35" s="145" t="s">
        <v>334</v>
      </c>
    </row>
    <row r="36" spans="1:14" ht="22.5" customHeight="1">
      <c r="A36" s="70">
        <f t="shared" si="1"/>
        <v>33</v>
      </c>
      <c r="B36" s="65" t="str">
        <f>VLOOKUP($A36,テーブル11[],2)&amp;""</f>
        <v/>
      </c>
      <c r="C36" s="120" t="str">
        <f>HYPERLINK(IFERROR(VLOOKUP($B36,テーブル11[[ソフトウェア]:[製品ベンダサイト（セキュリティアドバイザリ等）]],5,0),""))</f>
        <v/>
      </c>
      <c r="D36" s="139"/>
      <c r="E36" s="139"/>
      <c r="F36" s="139"/>
      <c r="G36" s="139"/>
      <c r="H36" s="139"/>
      <c r="I36" s="29" t="str">
        <f>IF(COUNTIF(テーブル13[[#This Row],[収集情報1]:[収集情報5]],"http*"),"○","")&amp;""</f>
        <v/>
      </c>
      <c r="J36" s="30" t="str">
        <f>IFERROR(_xlfn.IFS(VLOOKUP($B36,バージョン情報の確認!$B$4:$G$1048576,3,0)&lt;&gt;VLOOKUP($B36,バージョン情報の確認!$B$4:$G$1048576,5,0),"○",VLOOKUP($B36,脆弱性の影響度確認!$B$6:$K$1048576,3,0)="〇:影響を受ける","○"),"")</f>
        <v/>
      </c>
      <c r="L36" s="55">
        <v>9</v>
      </c>
      <c r="M36" s="65" t="s">
        <v>315</v>
      </c>
      <c r="N36" s="145" t="str">
        <f>HYPERLINK(IFERROR(VLOOKUP($M36,よく使われる収集先一覧!$B$38:$C$57,2,0),""))</f>
        <v>https://www.computerworld.com/category/security/</v>
      </c>
    </row>
    <row r="37" spans="1:14" ht="22.5" customHeight="1">
      <c r="A37" s="70">
        <f t="shared" si="1"/>
        <v>34</v>
      </c>
      <c r="B37" s="65" t="str">
        <f>VLOOKUP($A37,テーブル11[],2)&amp;""</f>
        <v/>
      </c>
      <c r="C37" s="120" t="str">
        <f>HYPERLINK(IFERROR(VLOOKUP($B37,テーブル11[[ソフトウェア]:[製品ベンダサイト（セキュリティアドバイザリ等）]],5,0),""))</f>
        <v/>
      </c>
      <c r="D37" s="139"/>
      <c r="E37" s="139"/>
      <c r="F37" s="139"/>
      <c r="G37" s="139"/>
      <c r="H37" s="139"/>
      <c r="I37" s="29" t="str">
        <f>IF(COUNTIF(テーブル13[[#This Row],[収集情報1]:[収集情報5]],"http*"),"○","")&amp;""</f>
        <v/>
      </c>
      <c r="J37" s="30" t="str">
        <f>IFERROR(_xlfn.IFS(VLOOKUP($B37,バージョン情報の確認!$B$4:$G$1048576,3,0)&lt;&gt;VLOOKUP($B37,バージョン情報の確認!$B$4:$G$1048576,5,0),"○",VLOOKUP($B37,脆弱性の影響度確認!$B$6:$K$1048576,3,0)="〇:影響を受ける","○"),"")</f>
        <v/>
      </c>
      <c r="L37" s="55">
        <v>10</v>
      </c>
      <c r="M37" s="65" t="s">
        <v>316</v>
      </c>
      <c r="N37" s="145" t="s">
        <v>333</v>
      </c>
    </row>
    <row r="38" spans="1:14" s="22" customFormat="1" ht="22.5" customHeight="1">
      <c r="A38" s="70">
        <f t="shared" si="1"/>
        <v>35</v>
      </c>
      <c r="B38" s="65" t="str">
        <f>VLOOKUP($A38,テーブル11[],2)&amp;""</f>
        <v/>
      </c>
      <c r="C38" s="120" t="str">
        <f>HYPERLINK(IFERROR(VLOOKUP($B38,テーブル11[[ソフトウェア]:[製品ベンダサイト（セキュリティアドバイザリ等）]],5,0),""))</f>
        <v/>
      </c>
      <c r="D38" s="139"/>
      <c r="E38" s="139"/>
      <c r="F38" s="139"/>
      <c r="G38" s="139"/>
      <c r="H38" s="139"/>
      <c r="I38" s="29" t="str">
        <f>IF(COUNTIF(テーブル13[[#This Row],[収集情報1]:[収集情報5]],"http*"),"○","")&amp;""</f>
        <v/>
      </c>
      <c r="J38" s="30" t="str">
        <f>IFERROR(_xlfn.IFS(VLOOKUP($B38,バージョン情報の確認!$B$4:$G$1048576,3,0)&lt;&gt;VLOOKUP($B38,バージョン情報の確認!$B$4:$G$1048576,5,0),"○",VLOOKUP($B38,脆弱性の影響度確認!$B$6:$K$1048576,3,0)="〇:影響を受ける","○"),"")</f>
        <v/>
      </c>
      <c r="L38" s="55">
        <v>11</v>
      </c>
      <c r="M38" s="65"/>
      <c r="N38" s="145" t="str">
        <f>HYPERLINK(IFERROR(VLOOKUP($M38,よく使われる収集先一覧!$B$38:$C$57,2,0),""))</f>
        <v/>
      </c>
    </row>
    <row r="39" spans="1:14" s="22" customFormat="1" ht="22.5" customHeight="1">
      <c r="A39" s="70">
        <f t="shared" si="1"/>
        <v>36</v>
      </c>
      <c r="B39" s="65" t="str">
        <f>VLOOKUP($A39,テーブル11[],2)&amp;""</f>
        <v/>
      </c>
      <c r="C39" s="120" t="str">
        <f>HYPERLINK(IFERROR(VLOOKUP($B39,テーブル11[[ソフトウェア]:[製品ベンダサイト（セキュリティアドバイザリ等）]],5,0),""))</f>
        <v/>
      </c>
      <c r="D39" s="139"/>
      <c r="E39" s="139"/>
      <c r="F39" s="139"/>
      <c r="G39" s="139"/>
      <c r="H39" s="139"/>
      <c r="I39" s="29" t="str">
        <f>IF(COUNTIF(テーブル13[[#This Row],[収集情報1]:[収集情報5]],"http*"),"○","")&amp;""</f>
        <v/>
      </c>
      <c r="J39" s="30" t="str">
        <f>IFERROR(_xlfn.IFS(VLOOKUP($B39,バージョン情報の確認!$B$4:$G$1048576,3,0)&lt;&gt;VLOOKUP($B39,バージョン情報の確認!$B$4:$G$1048576,5,0),"○",VLOOKUP($B39,脆弱性の影響度確認!$B$6:$K$1048576,3,0)="〇:影響を受ける","○"),"")</f>
        <v/>
      </c>
      <c r="L39" s="55">
        <v>12</v>
      </c>
      <c r="M39" s="65"/>
      <c r="N39" s="145" t="str">
        <f>HYPERLINK(IFERROR(VLOOKUP($M39,よく使われる収集先一覧!$B$38:$C$57,2,0),""))</f>
        <v/>
      </c>
    </row>
    <row r="40" spans="1:14" ht="22.5" customHeight="1">
      <c r="A40" s="70">
        <f t="shared" si="1"/>
        <v>37</v>
      </c>
      <c r="B40" s="65" t="str">
        <f>VLOOKUP($A40,テーブル11[],2)&amp;""</f>
        <v/>
      </c>
      <c r="C40" s="120" t="str">
        <f>HYPERLINK(IFERROR(VLOOKUP($B40,テーブル11[[ソフトウェア]:[製品ベンダサイト（セキュリティアドバイザリ等）]],5,0),""))</f>
        <v/>
      </c>
      <c r="D40" s="139"/>
      <c r="E40" s="139"/>
      <c r="F40" s="139"/>
      <c r="G40" s="139"/>
      <c r="H40" s="139"/>
      <c r="I40" s="29" t="str">
        <f>IF(COUNTIF(テーブル13[[#This Row],[収集情報1]:[収集情報5]],"http*"),"○","")&amp;""</f>
        <v/>
      </c>
      <c r="J40" s="30" t="str">
        <f>IFERROR(_xlfn.IFS(VLOOKUP($B40,バージョン情報の確認!$B$4:$G$1048576,3,0)&lt;&gt;VLOOKUP($B40,バージョン情報の確認!$B$4:$G$1048576,5,0),"○",VLOOKUP($B40,脆弱性の影響度確認!$B$6:$K$1048576,3,0)="〇:影響を受ける","○"),"")</f>
        <v/>
      </c>
      <c r="L40" s="55">
        <v>13</v>
      </c>
      <c r="M40" s="65"/>
      <c r="N40" s="145" t="str">
        <f>HYPERLINK(IFERROR(VLOOKUP($M40,よく使われる収集先一覧!$B$38:$C$57,2,0),""))</f>
        <v/>
      </c>
    </row>
    <row r="41" spans="1:14" ht="22.5" customHeight="1">
      <c r="A41" s="71">
        <f t="shared" si="1"/>
        <v>38</v>
      </c>
      <c r="B41" s="65" t="str">
        <f>VLOOKUP($A41,テーブル11[],2)&amp;""</f>
        <v/>
      </c>
      <c r="C41" s="120" t="str">
        <f>HYPERLINK(IFERROR(VLOOKUP($B41,テーブル11[[ソフトウェア]:[製品ベンダサイト（セキュリティアドバイザリ等）]],5,0),""))</f>
        <v/>
      </c>
      <c r="D41" s="139"/>
      <c r="E41" s="139"/>
      <c r="F41" s="139"/>
      <c r="G41" s="139"/>
      <c r="H41" s="139"/>
      <c r="I41" s="29" t="str">
        <f>IF(COUNTIF(テーブル13[[#This Row],[収集情報1]:[収集情報5]],"http*"),"○","")&amp;""</f>
        <v/>
      </c>
      <c r="J41" s="30" t="str">
        <f>IFERROR(_xlfn.IFS(VLOOKUP($B41,バージョン情報の確認!$B$4:$G$1048576,3,0)&lt;&gt;VLOOKUP($B41,バージョン情報の確認!$B$4:$G$1048576,5,0),"○",VLOOKUP($B41,脆弱性の影響度確認!$B$6:$K$1048576,3,0)="〇:影響を受ける","○"),"")</f>
        <v/>
      </c>
      <c r="L41" s="55">
        <v>14</v>
      </c>
      <c r="M41" s="65"/>
      <c r="N41" s="145" t="str">
        <f>HYPERLINK(IFERROR(VLOOKUP($M41,よく使われる収集先一覧!$B$38:$C$57,2,0),""))</f>
        <v/>
      </c>
    </row>
    <row r="42" spans="1:14" ht="22.5" customHeight="1">
      <c r="A42" s="71">
        <f t="shared" si="1"/>
        <v>39</v>
      </c>
      <c r="B42" s="65" t="str">
        <f>VLOOKUP($A42,テーブル11[],2)&amp;""</f>
        <v/>
      </c>
      <c r="C42" s="120" t="str">
        <f>HYPERLINK(IFERROR(VLOOKUP($B42,テーブル11[[ソフトウェア]:[製品ベンダサイト（セキュリティアドバイザリ等）]],5,0),""))</f>
        <v/>
      </c>
      <c r="D42" s="139"/>
      <c r="E42" s="139"/>
      <c r="F42" s="139"/>
      <c r="G42" s="139"/>
      <c r="H42" s="139"/>
      <c r="I42" s="29" t="str">
        <f>IF(COUNTIF(テーブル13[[#This Row],[収集情報1]:[収集情報5]],"http*"),"○","")&amp;""</f>
        <v/>
      </c>
      <c r="J42" s="30" t="str">
        <f>IFERROR(_xlfn.IFS(VLOOKUP($B42,バージョン情報の確認!$B$4:$G$1048576,3,0)&lt;&gt;VLOOKUP($B42,バージョン情報の確認!$B$4:$G$1048576,5,0),"○",VLOOKUP($B42,脆弱性の影響度確認!$B$6:$K$1048576,3,0)="〇:影響を受ける","○"),"")</f>
        <v/>
      </c>
      <c r="L42" s="55">
        <v>15</v>
      </c>
      <c r="M42" s="65"/>
      <c r="N42" s="145" t="str">
        <f>HYPERLINK(IFERROR(VLOOKUP($M42,よく使われる収集先一覧!$B$38:$C$57,2,0),""))</f>
        <v/>
      </c>
    </row>
    <row r="43" spans="1:14" ht="22.5" customHeight="1">
      <c r="A43" s="71">
        <f t="shared" si="1"/>
        <v>40</v>
      </c>
      <c r="B43" s="65" t="str">
        <f>VLOOKUP($A43,テーブル11[],2)&amp;""</f>
        <v/>
      </c>
      <c r="C43" s="120" t="str">
        <f>HYPERLINK(IFERROR(VLOOKUP($B43,テーブル11[[ソフトウェア]:[製品ベンダサイト（セキュリティアドバイザリ等）]],5,0),""))</f>
        <v/>
      </c>
      <c r="D43" s="139"/>
      <c r="E43" s="139"/>
      <c r="F43" s="139"/>
      <c r="G43" s="139"/>
      <c r="H43" s="139"/>
      <c r="I43" s="29" t="str">
        <f>IF(COUNTIF(テーブル13[[#This Row],[収集情報1]:[収集情報5]],"http*"),"○","")&amp;""</f>
        <v/>
      </c>
      <c r="J43" s="30" t="str">
        <f>IFERROR(_xlfn.IFS(VLOOKUP($B43,バージョン情報の確認!$B$4:$G$1048576,3,0)&lt;&gt;VLOOKUP($B43,バージョン情報の確認!$B$4:$G$1048576,5,0),"○",VLOOKUP($B43,脆弱性の影響度確認!$B$6:$K$1048576,3,0)="〇:影響を受ける","○"),"")</f>
        <v/>
      </c>
      <c r="L43" s="55">
        <v>16</v>
      </c>
      <c r="M43" s="65"/>
      <c r="N43" s="145" t="str">
        <f>HYPERLINK(IFERROR(VLOOKUP($M43,よく使われる収集先一覧!$B$38:$C$57,2,0),""))</f>
        <v/>
      </c>
    </row>
    <row r="44" spans="1:14" ht="22.5" customHeight="1">
      <c r="A44" s="71">
        <f t="shared" si="1"/>
        <v>41</v>
      </c>
      <c r="B44" s="65" t="str">
        <f>VLOOKUP($A44,テーブル11[],2)&amp;""</f>
        <v/>
      </c>
      <c r="C44" s="120" t="str">
        <f>HYPERLINK(IFERROR(VLOOKUP($B44,テーブル11[[ソフトウェア]:[製品ベンダサイト（セキュリティアドバイザリ等）]],5,0),""))</f>
        <v/>
      </c>
      <c r="D44" s="139"/>
      <c r="E44" s="139"/>
      <c r="F44" s="139"/>
      <c r="G44" s="139"/>
      <c r="H44" s="139"/>
      <c r="I44" s="29" t="str">
        <f>IF(COUNTIF(テーブル13[[#This Row],[収集情報1]:[収集情報5]],"http*"),"○","")&amp;""</f>
        <v/>
      </c>
      <c r="J44" s="30" t="str">
        <f>IFERROR(_xlfn.IFS(VLOOKUP($B44,バージョン情報の確認!$B$4:$G$1048576,3,0)&lt;&gt;VLOOKUP($B44,バージョン情報の確認!$B$4:$G$1048576,5,0),"○",VLOOKUP($B44,脆弱性の影響度確認!$B$6:$K$1048576,3,0)="〇:影響を受ける","○"),"")</f>
        <v/>
      </c>
      <c r="L44" s="55">
        <v>17</v>
      </c>
      <c r="M44" s="65"/>
      <c r="N44" s="145" t="str">
        <f>HYPERLINK(IFERROR(VLOOKUP($M44,よく使われる収集先一覧!$B$38:$C$57,2,0),""))</f>
        <v/>
      </c>
    </row>
    <row r="45" spans="1:14" ht="22.5" customHeight="1">
      <c r="A45" s="71">
        <f t="shared" si="1"/>
        <v>42</v>
      </c>
      <c r="B45" s="65" t="str">
        <f>VLOOKUP($A45,テーブル11[],2)&amp;""</f>
        <v/>
      </c>
      <c r="C45" s="120" t="str">
        <f>HYPERLINK(IFERROR(VLOOKUP($B45,テーブル11[[ソフトウェア]:[製品ベンダサイト（セキュリティアドバイザリ等）]],5,0),""))</f>
        <v/>
      </c>
      <c r="D45" s="139"/>
      <c r="E45" s="139"/>
      <c r="F45" s="139"/>
      <c r="G45" s="139"/>
      <c r="H45" s="139"/>
      <c r="I45" s="29" t="str">
        <f>IF(COUNTIF(テーブル13[[#This Row],[収集情報1]:[収集情報5]],"http*"),"○","")&amp;""</f>
        <v/>
      </c>
      <c r="J45" s="30" t="str">
        <f>IFERROR(_xlfn.IFS(VLOOKUP($B45,バージョン情報の確認!$B$4:$G$1048576,3,0)&lt;&gt;VLOOKUP($B45,バージョン情報の確認!$B$4:$G$1048576,5,0),"○",VLOOKUP($B45,脆弱性の影響度確認!$B$6:$K$1048576,3,0)="〇:影響を受ける","○"),"")</f>
        <v/>
      </c>
      <c r="L45" s="55">
        <v>18</v>
      </c>
      <c r="M45" s="65"/>
      <c r="N45" s="145" t="str">
        <f>HYPERLINK(IFERROR(VLOOKUP($M45,よく使われる収集先一覧!$B$38:$C$57,2,0),""))</f>
        <v/>
      </c>
    </row>
    <row r="46" spans="1:14" ht="22.5" customHeight="1">
      <c r="A46" s="71">
        <f t="shared" si="1"/>
        <v>43</v>
      </c>
      <c r="B46" s="65" t="str">
        <f>VLOOKUP($A46,テーブル11[],2)&amp;""</f>
        <v/>
      </c>
      <c r="C46" s="120" t="str">
        <f>HYPERLINK(IFERROR(VLOOKUP($B46,テーブル11[[ソフトウェア]:[製品ベンダサイト（セキュリティアドバイザリ等）]],5,0),""))</f>
        <v/>
      </c>
      <c r="D46" s="139"/>
      <c r="E46" s="139"/>
      <c r="F46" s="139"/>
      <c r="G46" s="139"/>
      <c r="H46" s="139"/>
      <c r="I46" s="29" t="str">
        <f>IF(COUNTIF(テーブル13[[#This Row],[収集情報1]:[収集情報5]],"http*"),"○","")&amp;""</f>
        <v/>
      </c>
      <c r="J46" s="30" t="str">
        <f>IFERROR(_xlfn.IFS(VLOOKUP($B46,バージョン情報の確認!$B$4:$G$1048576,3,0)&lt;&gt;VLOOKUP($B46,バージョン情報の確認!$B$4:$G$1048576,5,0),"○",VLOOKUP($B46,脆弱性の影響度確認!$B$6:$K$1048576,3,0)="〇:影響を受ける","○"),"")</f>
        <v/>
      </c>
      <c r="L46" s="55">
        <v>19</v>
      </c>
      <c r="M46" s="65"/>
      <c r="N46" s="145" t="str">
        <f>HYPERLINK(IFERROR(VLOOKUP($M46,よく使われる収集先一覧!$B$38:$C$57,2,0),""))</f>
        <v/>
      </c>
    </row>
    <row r="47" spans="1:14" ht="22.5" customHeight="1">
      <c r="A47" s="71">
        <f t="shared" si="1"/>
        <v>44</v>
      </c>
      <c r="B47" s="65" t="str">
        <f>VLOOKUP($A47,テーブル11[],2)&amp;""</f>
        <v/>
      </c>
      <c r="C47" s="120" t="str">
        <f>HYPERLINK(IFERROR(VLOOKUP($B47,テーブル11[[ソフトウェア]:[製品ベンダサイト（セキュリティアドバイザリ等）]],5,0),""))</f>
        <v/>
      </c>
      <c r="D47" s="139"/>
      <c r="E47" s="139"/>
      <c r="F47" s="139"/>
      <c r="G47" s="139"/>
      <c r="H47" s="139"/>
      <c r="I47" s="29" t="str">
        <f>IF(COUNTIF(テーブル13[[#This Row],[収集情報1]:[収集情報5]],"http*"),"○","")&amp;""</f>
        <v/>
      </c>
      <c r="J47" s="30" t="str">
        <f>IFERROR(_xlfn.IFS(VLOOKUP($B47,バージョン情報の確認!$B$4:$G$1048576,3,0)&lt;&gt;VLOOKUP($B47,バージョン情報の確認!$B$4:$G$1048576,5,0),"○",VLOOKUP($B47,脆弱性の影響度確認!$B$6:$K$1048576,3,0)="〇:影響を受ける","○"),"")</f>
        <v/>
      </c>
      <c r="L47" s="55">
        <v>20</v>
      </c>
      <c r="M47" s="65"/>
      <c r="N47" s="145" t="str">
        <f>HYPERLINK(IFERROR(VLOOKUP($M47,よく使われる収集先一覧!$B$38:$C$57,2,0),""))</f>
        <v/>
      </c>
    </row>
    <row r="48" spans="1:14" ht="22.5" customHeight="1">
      <c r="A48" s="71">
        <f t="shared" si="1"/>
        <v>45</v>
      </c>
      <c r="B48" s="65" t="str">
        <f>VLOOKUP($A48,テーブル11[],2)&amp;""</f>
        <v/>
      </c>
      <c r="C48" s="120" t="str">
        <f>HYPERLINK(IFERROR(VLOOKUP($B48,テーブル11[[ソフトウェア]:[製品ベンダサイト（セキュリティアドバイザリ等）]],5,0),""))</f>
        <v/>
      </c>
      <c r="D48" s="139"/>
      <c r="E48" s="139"/>
      <c r="F48" s="139"/>
      <c r="G48" s="139"/>
      <c r="H48" s="139"/>
      <c r="I48" s="29" t="str">
        <f>IF(COUNTIF(テーブル13[[#This Row],[収集情報1]:[収集情報5]],"http*"),"○","")&amp;""</f>
        <v/>
      </c>
      <c r="J48" s="30" t="str">
        <f>IFERROR(_xlfn.IFS(VLOOKUP($B48,バージョン情報の確認!$B$4:$G$1048576,3,0)&lt;&gt;VLOOKUP($B48,バージョン情報の確認!$B$4:$G$1048576,5,0),"○",VLOOKUP($B48,脆弱性の影響度確認!$B$6:$K$1048576,3,0)="〇:影響を受ける","○"),"")</f>
        <v/>
      </c>
    </row>
    <row r="49" spans="1:14" ht="22.5" customHeight="1">
      <c r="A49" s="71">
        <f t="shared" si="1"/>
        <v>46</v>
      </c>
      <c r="B49" s="65" t="str">
        <f>VLOOKUP($A49,テーブル11[],2)&amp;""</f>
        <v/>
      </c>
      <c r="C49" s="120" t="str">
        <f>HYPERLINK(IFERROR(VLOOKUP($B49,テーブル11[[ソフトウェア]:[製品ベンダサイト（セキュリティアドバイザリ等）]],5,0),""))</f>
        <v/>
      </c>
      <c r="D49" s="139"/>
      <c r="E49" s="139"/>
      <c r="F49" s="139"/>
      <c r="G49" s="139"/>
      <c r="H49" s="139"/>
      <c r="I49" s="29" t="str">
        <f>IF(COUNTIF(テーブル13[[#This Row],[収集情報1]:[収集情報5]],"http*"),"○","")&amp;""</f>
        <v/>
      </c>
      <c r="J49" s="30" t="str">
        <f>IFERROR(_xlfn.IFS(VLOOKUP($B49,バージョン情報の確認!$B$4:$G$1048576,3,0)&lt;&gt;VLOOKUP($B49,バージョン情報の確認!$B$4:$G$1048576,5,0),"○",VLOOKUP($B49,脆弱性の影響度確認!$B$6:$K$1048576,3,0)="〇:影響を受ける","○"),"")</f>
        <v/>
      </c>
    </row>
    <row r="50" spans="1:14" ht="22.5" customHeight="1">
      <c r="A50" s="71">
        <f t="shared" si="1"/>
        <v>47</v>
      </c>
      <c r="B50" s="65" t="str">
        <f>VLOOKUP($A50,テーブル11[],2)&amp;""</f>
        <v/>
      </c>
      <c r="C50" s="120" t="str">
        <f>HYPERLINK(IFERROR(VLOOKUP($B50,テーブル11[[ソフトウェア]:[製品ベンダサイト（セキュリティアドバイザリ等）]],5,0),""))</f>
        <v/>
      </c>
      <c r="D50" s="139"/>
      <c r="E50" s="139"/>
      <c r="F50" s="139"/>
      <c r="G50" s="139"/>
      <c r="H50" s="139"/>
      <c r="I50" s="29" t="str">
        <f>IF(COUNTIF(テーブル13[[#This Row],[収集情報1]:[収集情報5]],"http*"),"○","")&amp;""</f>
        <v/>
      </c>
      <c r="J50" s="30" t="str">
        <f>IFERROR(_xlfn.IFS(VLOOKUP($B50,バージョン情報の確認!$B$4:$G$1048576,3,0)&lt;&gt;VLOOKUP($B50,バージョン情報の確認!$B$4:$G$1048576,5,0),"○",VLOOKUP($B50,脆弱性の影響度確認!$B$6:$K$1048576,3,0)="〇:影響を受ける","○"),"")</f>
        <v/>
      </c>
    </row>
    <row r="51" spans="1:14" ht="22.5" customHeight="1">
      <c r="A51" s="71">
        <f t="shared" si="1"/>
        <v>48</v>
      </c>
      <c r="B51" s="65" t="str">
        <f>VLOOKUP($A51,テーブル11[],2)&amp;""</f>
        <v/>
      </c>
      <c r="C51" s="120" t="str">
        <f>HYPERLINK(IFERROR(VLOOKUP($B51,テーブル11[[ソフトウェア]:[製品ベンダサイト（セキュリティアドバイザリ等）]],5,0),""))</f>
        <v/>
      </c>
      <c r="D51" s="139"/>
      <c r="E51" s="139"/>
      <c r="F51" s="139"/>
      <c r="G51" s="139"/>
      <c r="H51" s="139"/>
      <c r="I51" s="29" t="str">
        <f>IF(COUNTIF(テーブル13[[#This Row],[収集情報1]:[収集情報5]],"http*"),"○","")&amp;""</f>
        <v/>
      </c>
      <c r="J51" s="30" t="str">
        <f>IFERROR(_xlfn.IFS(VLOOKUP($B51,バージョン情報の確認!$B$4:$G$1048576,3,0)&lt;&gt;VLOOKUP($B51,バージョン情報の確認!$B$4:$G$1048576,5,0),"○",VLOOKUP($B51,脆弱性の影響度確認!$B$6:$K$1048576,3,0)="〇:影響を受ける","○"),"")</f>
        <v/>
      </c>
      <c r="L51" s="22"/>
      <c r="M51" s="33"/>
      <c r="N51" s="33"/>
    </row>
    <row r="52" spans="1:14" ht="22.5" customHeight="1">
      <c r="A52" s="71">
        <f t="shared" si="1"/>
        <v>49</v>
      </c>
      <c r="B52" s="65" t="str">
        <f>VLOOKUP($A52,テーブル11[],2)&amp;""</f>
        <v/>
      </c>
      <c r="C52" s="120" t="str">
        <f>HYPERLINK(IFERROR(VLOOKUP($B52,テーブル11[[ソフトウェア]:[製品ベンダサイト（セキュリティアドバイザリ等）]],5,0),""))</f>
        <v/>
      </c>
      <c r="D52" s="139"/>
      <c r="E52" s="139"/>
      <c r="F52" s="139"/>
      <c r="G52" s="139"/>
      <c r="H52" s="139"/>
      <c r="I52" s="29" t="str">
        <f>IF(COUNTIF(テーブル13[[#This Row],[収集情報1]:[収集情報5]],"http*"),"○","")&amp;""</f>
        <v/>
      </c>
      <c r="J52" s="30" t="str">
        <f>IFERROR(_xlfn.IFS(VLOOKUP($B52,バージョン情報の確認!$B$4:$G$1048576,3,0)&lt;&gt;VLOOKUP($B52,バージョン情報の確認!$B$4:$G$1048576,5,0),"○",VLOOKUP($B52,脆弱性の影響度確認!$B$6:$K$1048576,3,0)="〇:影響を受ける","○"),"")</f>
        <v/>
      </c>
    </row>
    <row r="53" spans="1:14" ht="22.5" customHeight="1">
      <c r="A53" s="117">
        <f>ROW()-3</f>
        <v>50</v>
      </c>
      <c r="B53" s="65" t="str">
        <f>VLOOKUP($A53,テーブル11[],2)&amp;""</f>
        <v/>
      </c>
      <c r="C53" s="120" t="str">
        <f>HYPERLINK(IFERROR(VLOOKUP($B53,テーブル11[[ソフトウェア]:[製品ベンダサイト（セキュリティアドバイザリ等）]],5,0),""))</f>
        <v/>
      </c>
      <c r="D53" s="142"/>
      <c r="E53" s="142"/>
      <c r="F53" s="142"/>
      <c r="G53" s="142"/>
      <c r="H53" s="142"/>
      <c r="I53" s="118" t="str">
        <f>IF(COUNTIF(テーブル13[[#This Row],[収集情報1]:[収集情報5]],"http*"),"○","")&amp;""</f>
        <v/>
      </c>
      <c r="J53" s="119" t="str">
        <f>IFERROR(_xlfn.IFS(VLOOKUP($B53,バージョン情報の確認!$B$4:$G$1048576,3,0)&lt;&gt;VLOOKUP($B53,バージョン情報の確認!$B$4:$G$1048576,5,0),"○",VLOOKUP($B53,脆弱性の影響度確認!$B$6:$K$1048576,3,0)="〇:影響を受ける","○"),"")</f>
        <v/>
      </c>
    </row>
  </sheetData>
  <phoneticPr fontId="1"/>
  <hyperlinks>
    <hyperlink ref="E4" r:id="rId1" xr:uid="{21ADFF92-FE31-4A15-BA5B-C952EFB22B0C}"/>
    <hyperlink ref="E11" r:id="rId2" xr:uid="{64A0DA29-F8AC-4F99-92C4-978393D7D45F}"/>
    <hyperlink ref="F11" r:id="rId3" xr:uid="{755F3ED6-E06A-4E20-A9BC-A7D6011FE2A1}"/>
    <hyperlink ref="D11" r:id="rId4" location="september-9-2020" xr:uid="{7402223D-AC17-4ABC-978F-B1614F42EA6A}"/>
    <hyperlink ref="D4" r:id="rId5" xr:uid="{20A8CB5E-EFCB-48E6-B06D-DC3958DDDE79}"/>
    <hyperlink ref="F4" r:id="rId6" xr:uid="{B1CF7605-855D-4E16-A6B7-A0123C7E98EF}"/>
    <hyperlink ref="G4" r:id="rId7" xr:uid="{CFDBD916-57CB-452D-B6B0-1C893B0CC6EC}"/>
    <hyperlink ref="N37" r:id="rId8" xr:uid="{9A845887-25CB-4DF0-A092-9079B0B55F29}"/>
    <hyperlink ref="N35" r:id="rId9" xr:uid="{FBA370E5-D772-4951-9DC7-99FC72827588}"/>
  </hyperlinks>
  <pageMargins left="0.23622047244094491" right="0.23622047244094491" top="0.74803149606299213" bottom="0.74803149606299213" header="0.31496062992125984" footer="0.31496062992125984"/>
  <pageSetup paperSize="9" scale="43" fitToHeight="0" orientation="portrait" r:id="rId10"/>
  <headerFooter>
    <oddHeader>&amp;Lソフトウェア脆弱性管理台帳</oddHeader>
  </headerFooter>
  <drawing r:id="rId11"/>
  <tableParts count="4">
    <tablePart r:id="rId12"/>
    <tablePart r:id="rId13"/>
    <tablePart r:id="rId14"/>
    <tablePart r:id="rId15"/>
  </tableParts>
  <extLst>
    <ext xmlns:x14="http://schemas.microsoft.com/office/spreadsheetml/2009/9/main" uri="{78C0D931-6437-407d-A8EE-F0AAD7539E65}">
      <x14:conditionalFormattings>
        <x14:conditionalFormatting xmlns:xm="http://schemas.microsoft.com/office/excel/2006/main">
          <x14:cfRule type="expression" priority="1" id="{A7045F9F-A211-4DD9-9EE0-75C2CDA49CDB}">
            <xm:f>VLOOKUP($B4,バージョン情報の確認!$B$4:$G$1048576,3,0)&lt;&gt;VLOOKUP($B4,バージョン情報の確認!$B$4:$G$1048576,5,0)</xm:f>
            <x14:dxf>
              <fill>
                <patternFill>
                  <bgColor theme="7" tint="0.79998168889431442"/>
                </patternFill>
              </fill>
            </x14:dxf>
          </x14:cfRule>
          <xm:sqref>A4:H1048576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xr:uid="{30AAF3A3-14DA-476D-9C83-3DEBE5F3C994}">
          <x14:formula1>
            <xm:f>OFFSET(よく使われる収集先一覧!$B$4,,,COUNTA(よく使われる収集先一覧!$B$4:$B$16))</xm:f>
          </x14:formula1>
          <xm:sqref>M4:M13</xm:sqref>
        </x14:dataValidation>
        <x14:dataValidation type="list" allowBlank="1" showInputMessage="1" showErrorMessage="1" xr:uid="{F1EDE434-A793-48B3-982A-A2C2331775C0}">
          <x14:formula1>
            <xm:f>OFFSET(よく使われる収集先一覧!$B$21,,,COUNTA(よく使われる収集先一覧!$B$21:$B$35))</xm:f>
          </x14:formula1>
          <xm:sqref>M16:M25</xm:sqref>
        </x14:dataValidation>
        <x14:dataValidation type="list" allowBlank="1" showInputMessage="1" xr:uid="{3BBF422F-7FF1-4753-AC99-108FBF47F3AE}">
          <x14:formula1>
            <xm:f>OFFSET(よく使われる収集先一覧!$B$38,,,COUNTA(よく使われる収集先一覧!$B$38:$B$57))</xm:f>
          </x14:formula1>
          <xm:sqref>M28:M47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DE7D5-50BA-4BC9-9F71-AB4B5355D5AB}">
  <sheetPr codeName="Sheet6">
    <tabColor theme="9" tint="0.59999389629810485"/>
    <pageSetUpPr fitToPage="1"/>
  </sheetPr>
  <dimension ref="A1:P498"/>
  <sheetViews>
    <sheetView showGridLines="0" showRuler="0" showWhiteSpace="0" zoomScaleNormal="100" zoomScaleSheetLayoutView="130" workbookViewId="0">
      <selection activeCell="A2" sqref="A2"/>
    </sheetView>
  </sheetViews>
  <sheetFormatPr defaultColWidth="10.625" defaultRowHeight="20.100000000000001" customHeight="1"/>
  <cols>
    <col min="1" max="1" width="5" style="36" customWidth="1"/>
    <col min="2" max="2" width="25" style="37" customWidth="1"/>
    <col min="3" max="3" width="25" style="38" customWidth="1"/>
    <col min="4" max="4" width="20" style="37" customWidth="1"/>
    <col min="5" max="5" width="20" style="38" customWidth="1"/>
    <col min="6" max="10" width="20" style="37" customWidth="1"/>
    <col min="11" max="15" width="7.625" style="19" customWidth="1"/>
    <col min="16" max="16" width="10.625" style="19" hidden="1" customWidth="1"/>
    <col min="17" max="17" width="10.625" style="19" customWidth="1"/>
    <col min="18" max="16384" width="10.625" style="19"/>
  </cols>
  <sheetData>
    <row r="1" spans="1:16" s="3" customFormat="1" ht="19.5">
      <c r="A1" s="1" t="s">
        <v>272</v>
      </c>
      <c r="B1" s="2"/>
      <c r="C1" s="2"/>
      <c r="D1" s="2"/>
      <c r="E1" s="2"/>
      <c r="F1" s="2"/>
      <c r="G1" s="2"/>
      <c r="H1" s="2"/>
      <c r="I1" s="2"/>
      <c r="J1" s="2"/>
      <c r="K1" s="2"/>
      <c r="L1" s="2"/>
      <c r="M1" s="2"/>
      <c r="N1" s="2"/>
      <c r="O1" s="39"/>
      <c r="P1" s="39"/>
    </row>
    <row r="2" spans="1:16" s="3" customFormat="1" ht="14.25"/>
    <row r="3" spans="1:16" s="3" customFormat="1" ht="24.75">
      <c r="E3" s="179" t="s">
        <v>29</v>
      </c>
      <c r="F3" s="225" t="s">
        <v>28</v>
      </c>
      <c r="G3" s="226"/>
      <c r="H3" s="42"/>
    </row>
    <row r="4" spans="1:16" s="3" customFormat="1" ht="14.25">
      <c r="B4" s="35"/>
      <c r="C4" s="35"/>
      <c r="D4" s="35"/>
      <c r="E4" s="35"/>
    </row>
    <row r="5" spans="1:16" s="4" customFormat="1" ht="40.5" customHeight="1">
      <c r="A5" s="78" t="s">
        <v>3</v>
      </c>
      <c r="B5" s="124" t="s">
        <v>26</v>
      </c>
      <c r="C5" s="124" t="s">
        <v>261</v>
      </c>
      <c r="D5" s="125" t="s">
        <v>138</v>
      </c>
      <c r="E5" s="124" t="s">
        <v>143</v>
      </c>
      <c r="F5" s="124" t="s">
        <v>140</v>
      </c>
      <c r="G5" s="124" t="s">
        <v>139</v>
      </c>
      <c r="H5" s="124" t="s">
        <v>141</v>
      </c>
      <c r="I5" s="124" t="s">
        <v>180</v>
      </c>
      <c r="J5" s="124" t="s">
        <v>250</v>
      </c>
      <c r="K5" s="126" t="s">
        <v>44</v>
      </c>
      <c r="L5" s="126" t="s">
        <v>45</v>
      </c>
      <c r="M5" s="126" t="s">
        <v>46</v>
      </c>
      <c r="N5" s="126" t="s">
        <v>47</v>
      </c>
      <c r="O5" s="126" t="s">
        <v>48</v>
      </c>
      <c r="P5" s="146" t="s">
        <v>172</v>
      </c>
    </row>
    <row r="6" spans="1:16" s="18" customFormat="1" ht="20.100000000000001" customHeight="1">
      <c r="A6" s="72" cm="1">
        <f t="array" ref="A6">IFERROR(INDEX(脆弱性関連情報の確認!$A$4:$B$500,MATCH(LARGE((脆弱性関連情報の確認!$I$4:$I$500="○")*1/ROW(バージョン情報の確認!$A$4:$A$500),ROWS(脆弱性対策の適用判断!$A$4:$A4)),1/ROW(脆弱性関連情報の確認!$A$4:$A$500),0),COLUMNS(脆弱性関連情報の確認!$A$1:A$1)),"")</f>
        <v>1</v>
      </c>
      <c r="B6" s="69" t="str" cm="1">
        <f t="array" ref="B6">IFERROR(INDEX(脆弱性関連情報の確認!$A$4:$B$500,MATCH(LARGE((脆弱性関連情報の確認!$I$4:$I$500="○")*1/ROW(バージョン情報の確認!$A$4:$A$500),ROWS(脆弱性対策の適用判断!$A$4:$A4)),1/ROW(脆弱性関連情報の確認!$A$4:$A$500),0),COLUMNS(脆弱性関連情報の確認!$A$1:B$1)),"")</f>
        <v>Windows 10 Version 2004</v>
      </c>
      <c r="C6" s="73" t="str">
        <f>IFERROR(VLOOKUP($B6,バージョン情報の確認!$B$4:$G$1048576,3,0),"")&amp;""</f>
        <v>19041.488</v>
      </c>
      <c r="D6" s="68" t="s">
        <v>317</v>
      </c>
      <c r="E6" s="147" t="s">
        <v>320</v>
      </c>
      <c r="F6" s="74"/>
      <c r="G6" s="74" t="s">
        <v>318</v>
      </c>
      <c r="H6" s="74" t="s">
        <v>324</v>
      </c>
      <c r="I6" s="74"/>
      <c r="J6" s="74" t="s">
        <v>319</v>
      </c>
      <c r="K6" s="175" t="str">
        <f>HYPERLINK(IFERROR(VLOOKUP($B6,脆弱性関連情報の確認!$B$4:$H$1048576,3,0),""))</f>
        <v>https://www.ipa.go.jp/security/ciadr/vul/20200909-ms.html</v>
      </c>
      <c r="L6" s="176" t="str">
        <f>HYPERLINK(IFERROR(VLOOKUP($B6,脆弱性関連情報の確認!$B$4:$H$1048576,4,0),""))</f>
        <v>https://portal.msrc.microsoft.com/en-us/security-guidance/releasenotedetail/2020-Sep</v>
      </c>
      <c r="M6" s="176" t="str">
        <f>HYPERLINK(IFERROR(VLOOKUP($B6,脆弱性関連情報の確認!$B$4:$H$1048576,5,0),""))</f>
        <v>https://www.jpcert.or.jp/at/2020/at200036.html</v>
      </c>
      <c r="N6" s="176" t="str">
        <f>HYPERLINK(IFERROR(VLOOKUP($B6,脆弱性関連情報の確認!$B$4:$H$1048576,6,0),""))</f>
        <v>https://portal.msrc.microsoft.com/ja-JP/security-guidance/advisory/CVE-2020-1252</v>
      </c>
      <c r="O6" s="176" t="str">
        <f>HYPERLINK(IFERROR(VLOOKUP($B6,脆弱性関連情報の確認!$B$4:$H$1048576,7,0),""))</f>
        <v/>
      </c>
      <c r="P6" s="148" t="str" cm="1">
        <f t="array" ref="P6">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緊急度：高</v>
      </c>
    </row>
    <row r="7" spans="1:16" s="18" customFormat="1" ht="20.100000000000001" customHeight="1">
      <c r="A7" s="72" cm="1">
        <f t="array" ref="A7">IFERROR(INDEX(脆弱性関連情報の確認!$A$4:$B$500,MATCH(LARGE((脆弱性関連情報の確認!$I$4:$I$500="○")*1/ROW(バージョン情報の確認!$A$4:$A$500),ROWS(脆弱性対策の適用判断!$A$4:$A5)),1/ROW(脆弱性関連情報の確認!$A$4:$A$500),0),COLUMNS(脆弱性関連情報の確認!$A$1:A$1)),"")</f>
        <v>8</v>
      </c>
      <c r="B7" s="75" t="str" cm="1">
        <f t="array" ref="B7">IFERROR(INDEX(脆弱性関連情報の確認!$A$4:$B$500,MATCH(LARGE((脆弱性関連情報の確認!$I$4:$I$500="○")*1/ROW(バージョン情報の確認!$A$4:$A$500),ROWS(脆弱性対策の適用判断!$A$4:$A5)),1/ROW(脆弱性関連情報の確認!$A$4:$A$500),0),COLUMNS(脆弱性関連情報の確認!$A$1:B$1)),"")</f>
        <v>Microsoft Edge</v>
      </c>
      <c r="C7" s="73" t="str">
        <f>IFERROR(VLOOKUP($B7,バージョン情報の確認!$B$4:$G$1048576,3,0),"")&amp;""</f>
        <v>85.0.564.44</v>
      </c>
      <c r="D7" s="68" t="s">
        <v>317</v>
      </c>
      <c r="E7" s="147" t="s">
        <v>370</v>
      </c>
      <c r="F7" s="74"/>
      <c r="G7" s="74"/>
      <c r="H7" s="74"/>
      <c r="I7" s="74"/>
      <c r="J7" s="74" t="s">
        <v>335</v>
      </c>
      <c r="K7" s="175" t="str">
        <f>HYPERLINK(IFERROR(VLOOKUP($B7,脆弱性関連情報の確認!$B$4:$H$1048576,3,0),""))</f>
        <v>https://docs.microsoft.com/en-us/DeployEdge/microsoft-edge-relnotes-security#september-9-2020</v>
      </c>
      <c r="L7" s="176" t="str">
        <f>HYPERLINK(IFERROR(VLOOKUP($B7,脆弱性関連情報の確認!$B$4:$H$1048576,4,0),""))</f>
        <v>https://portal.msrc.microsoft.com/en-us/security-guidance/advisory/ADV200002</v>
      </c>
      <c r="M7" s="176" t="str">
        <f>HYPERLINK(IFERROR(VLOOKUP($B7,脆弱性関連情報の確認!$B$4:$H$1048576,5,0),""))</f>
        <v>https://forest.watch.impress.co.jp/docs/news/1276232.html</v>
      </c>
      <c r="N7" s="176" t="str">
        <f>HYPERLINK(IFERROR(VLOOKUP($B7,脆弱性関連情報の確認!$B$4:$H$1048576,6,0),""))</f>
        <v/>
      </c>
      <c r="O7" s="176" t="str">
        <f>HYPERLINK(IFERROR(VLOOKUP($B7,脆弱性関連情報の確認!$B$4:$H$1048576,7,0),""))</f>
        <v/>
      </c>
      <c r="P7" s="148" t="str" cm="1">
        <f t="array" ref="P7">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緊急度：中～高</v>
      </c>
    </row>
    <row r="8" spans="1:16" s="18" customFormat="1" ht="20.100000000000001" customHeight="1">
      <c r="A8" s="72" t="str" cm="1">
        <f t="array" ref="A8">IFERROR(INDEX(脆弱性関連情報の確認!$A$4:$B$500,MATCH(LARGE((脆弱性関連情報の確認!$I$4:$I$500="○")*1/ROW(バージョン情報の確認!$A$4:$A$500),ROWS(脆弱性対策の適用判断!$A$4:$A6)),1/ROW(脆弱性関連情報の確認!$A$4:$A$500),0),COLUMNS(脆弱性関連情報の確認!$A$1:A$1)),"")</f>
        <v/>
      </c>
      <c r="B8" s="75" t="str" cm="1">
        <f t="array" ref="B8">IFERROR(INDEX(脆弱性関連情報の確認!$A$4:$B$500,MATCH(LARGE((脆弱性関連情報の確認!$I$4:$I$500="○")*1/ROW(バージョン情報の確認!$A$4:$A$500),ROWS(脆弱性対策の適用判断!$A$4:$A6)),1/ROW(脆弱性関連情報の確認!$A$4:$A$500),0),COLUMNS(脆弱性関連情報の確認!$A$1:B$1)),"")</f>
        <v/>
      </c>
      <c r="C8" s="73" t="str">
        <f>IFERROR(VLOOKUP($B8,バージョン情報の確認!$B$4:$G$1048576,3,0),"")&amp;""</f>
        <v/>
      </c>
      <c r="D8" s="68"/>
      <c r="E8" s="147"/>
      <c r="F8" s="74"/>
      <c r="G8" s="74"/>
      <c r="H8" s="74"/>
      <c r="I8" s="74"/>
      <c r="J8" s="74"/>
      <c r="K8" s="175" t="str">
        <f>HYPERLINK(IFERROR(VLOOKUP($B8,脆弱性関連情報の確認!$B$4:$H$1048576,3,0),""))</f>
        <v/>
      </c>
      <c r="L8" s="176" t="str">
        <f>HYPERLINK(IFERROR(VLOOKUP($B8,脆弱性関連情報の確認!$B$4:$H$1048576,4,0),""))</f>
        <v/>
      </c>
      <c r="M8" s="176" t="str">
        <f>HYPERLINK(IFERROR(VLOOKUP($B8,脆弱性関連情報の確認!$B$4:$H$1048576,5,0),""))</f>
        <v/>
      </c>
      <c r="N8" s="176" t="str">
        <f>HYPERLINK(IFERROR(VLOOKUP($B8,脆弱性関連情報の確認!$B$4:$H$1048576,6,0),""))</f>
        <v/>
      </c>
      <c r="O8" s="176" t="str">
        <f>HYPERLINK(IFERROR(VLOOKUP($B8,脆弱性関連情報の確認!$B$4:$H$1048576,7,0),""))</f>
        <v/>
      </c>
      <c r="P8" s="148" t="str" cm="1">
        <f t="array" ref="P8">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9" spans="1:16" s="18" customFormat="1" ht="20.100000000000001" customHeight="1">
      <c r="A9" s="72" t="str" cm="1">
        <f t="array" ref="A9">IFERROR(INDEX(脆弱性関連情報の確認!$A$4:$B$500,MATCH(LARGE((脆弱性関連情報の確認!$I$4:$I$500="○")*1/ROW(バージョン情報の確認!$A$4:$A$500),ROWS(脆弱性対策の適用判断!$A$4:$A7)),1/ROW(脆弱性関連情報の確認!$A$4:$A$500),0),COLUMNS(脆弱性関連情報の確認!$A$1:A$1)),"")</f>
        <v/>
      </c>
      <c r="B9" s="75" t="str" cm="1">
        <f t="array" ref="B9">IFERROR(INDEX(脆弱性関連情報の確認!$A$4:$B$500,MATCH(LARGE((脆弱性関連情報の確認!$I$4:$I$500="○")*1/ROW(バージョン情報の確認!$A$4:$A$500),ROWS(脆弱性対策の適用判断!$A$4:$A7)),1/ROW(脆弱性関連情報の確認!$A$4:$A$500),0),COLUMNS(脆弱性関連情報の確認!$A$1:B$1)),"")</f>
        <v/>
      </c>
      <c r="C9" s="73" t="str">
        <f>IFERROR(VLOOKUP($B9,バージョン情報の確認!$B$4:$G$1048576,3,0),"")&amp;""</f>
        <v/>
      </c>
      <c r="D9" s="68"/>
      <c r="E9" s="147"/>
      <c r="F9" s="74"/>
      <c r="G9" s="74"/>
      <c r="H9" s="74"/>
      <c r="I9" s="74"/>
      <c r="J9" s="74"/>
      <c r="K9" s="175" t="str">
        <f>HYPERLINK(IFERROR(VLOOKUP($B9,脆弱性関連情報の確認!$B$4:$H$1048576,3,0),""))</f>
        <v/>
      </c>
      <c r="L9" s="176" t="str">
        <f>HYPERLINK(IFERROR(VLOOKUP($B9,脆弱性関連情報の確認!$B$4:$H$1048576,4,0),""))</f>
        <v/>
      </c>
      <c r="M9" s="176" t="str">
        <f>HYPERLINK(IFERROR(VLOOKUP($B9,脆弱性関連情報の確認!$B$4:$H$1048576,5,0),""))</f>
        <v/>
      </c>
      <c r="N9" s="176" t="str">
        <f>HYPERLINK(IFERROR(VLOOKUP($B9,脆弱性関連情報の確認!$B$4:$H$1048576,6,0),""))</f>
        <v/>
      </c>
      <c r="O9" s="176" t="str">
        <f>HYPERLINK(IFERROR(VLOOKUP($B9,脆弱性関連情報の確認!$B$4:$H$1048576,7,0),""))</f>
        <v/>
      </c>
      <c r="P9" s="148" t="str" cm="1">
        <f t="array" ref="P9">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10" spans="1:16" s="18" customFormat="1" ht="20.100000000000001" customHeight="1">
      <c r="A10" s="72" t="str" cm="1">
        <f t="array" ref="A10">IFERROR(INDEX(脆弱性関連情報の確認!$A$4:$B$500,MATCH(LARGE((脆弱性関連情報の確認!$I$4:$I$500="○")*1/ROW(バージョン情報の確認!$A$4:$A$500),ROWS(脆弱性対策の適用判断!$A$4:$A8)),1/ROW(脆弱性関連情報の確認!$A$4:$A$500),0),COLUMNS(脆弱性関連情報の確認!$A$1:A$1)),"")</f>
        <v/>
      </c>
      <c r="B10" s="75" t="str" cm="1">
        <f t="array" ref="B10">IFERROR(INDEX(脆弱性関連情報の確認!$A$4:$B$500,MATCH(LARGE((脆弱性関連情報の確認!$I$4:$I$500="○")*1/ROW(バージョン情報の確認!$A$4:$A$500),ROWS(脆弱性対策の適用判断!$A$4:$A8)),1/ROW(脆弱性関連情報の確認!$A$4:$A$500),0),COLUMNS(脆弱性関連情報の確認!$A$1:B$1)),"")</f>
        <v/>
      </c>
      <c r="C10" s="73" t="str">
        <f>IFERROR(VLOOKUP($B10,バージョン情報の確認!$B$4:$G$1048576,3,0),"")&amp;""</f>
        <v/>
      </c>
      <c r="D10" s="68"/>
      <c r="E10" s="147"/>
      <c r="F10" s="74"/>
      <c r="G10" s="74"/>
      <c r="H10" s="74"/>
      <c r="I10" s="74"/>
      <c r="J10" s="74"/>
      <c r="K10" s="175" t="str">
        <f>HYPERLINK(IFERROR(VLOOKUP($B10,脆弱性関連情報の確認!$B$4:$H$1048576,3,0),""))</f>
        <v/>
      </c>
      <c r="L10" s="176" t="str">
        <f>HYPERLINK(IFERROR(VLOOKUP($B10,脆弱性関連情報の確認!$B$4:$H$1048576,4,0),""))</f>
        <v/>
      </c>
      <c r="M10" s="176" t="str">
        <f>HYPERLINK(IFERROR(VLOOKUP($B10,脆弱性関連情報の確認!$B$4:$H$1048576,5,0),""))</f>
        <v/>
      </c>
      <c r="N10" s="176" t="str">
        <f>HYPERLINK(IFERROR(VLOOKUP($B10,脆弱性関連情報の確認!$B$4:$H$1048576,6,0),""))</f>
        <v/>
      </c>
      <c r="O10" s="176" t="str">
        <f>HYPERLINK(IFERROR(VLOOKUP($B10,脆弱性関連情報の確認!$B$4:$H$1048576,7,0),""))</f>
        <v/>
      </c>
      <c r="P10" s="148" t="str" cm="1">
        <f t="array" ref="P10">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11" spans="1:16" s="18" customFormat="1" ht="20.100000000000001" customHeight="1">
      <c r="A11" s="72" t="str" cm="1">
        <f t="array" ref="A11">IFERROR(INDEX(脆弱性関連情報の確認!$A$4:$B$500,MATCH(LARGE((脆弱性関連情報の確認!$I$4:$I$500="○")*1/ROW(バージョン情報の確認!$A$4:$A$500),ROWS(脆弱性対策の適用判断!$A$4:$A9)),1/ROW(脆弱性関連情報の確認!$A$4:$A$500),0),COLUMNS(脆弱性関連情報の確認!$A$1:A$1)),"")</f>
        <v/>
      </c>
      <c r="B11" s="75" t="str" cm="1">
        <f t="array" ref="B11">IFERROR(INDEX(脆弱性関連情報の確認!$A$4:$B$500,MATCH(LARGE((脆弱性関連情報の確認!$I$4:$I$500="○")*1/ROW(バージョン情報の確認!$A$4:$A$500),ROWS(脆弱性対策の適用判断!$A$4:$A9)),1/ROW(脆弱性関連情報の確認!$A$4:$A$500),0),COLUMNS(脆弱性関連情報の確認!$A$1:B$1)),"")</f>
        <v/>
      </c>
      <c r="C11" s="73" t="str">
        <f>IFERROR(VLOOKUP($B11,バージョン情報の確認!$B$4:$G$1048576,3,0),"")&amp;""</f>
        <v/>
      </c>
      <c r="D11" s="68"/>
      <c r="E11" s="147"/>
      <c r="F11" s="74"/>
      <c r="G11" s="74"/>
      <c r="H11" s="74"/>
      <c r="I11" s="74"/>
      <c r="J11" s="74"/>
      <c r="K11" s="175" t="str">
        <f>HYPERLINK(IFERROR(VLOOKUP($B11,脆弱性関連情報の確認!$B$4:$H$1048576,3,0),""))</f>
        <v/>
      </c>
      <c r="L11" s="176" t="str">
        <f>HYPERLINK(IFERROR(VLOOKUP($B11,脆弱性関連情報の確認!$B$4:$H$1048576,4,0),""))</f>
        <v/>
      </c>
      <c r="M11" s="176" t="str">
        <f>HYPERLINK(IFERROR(VLOOKUP($B11,脆弱性関連情報の確認!$B$4:$H$1048576,5,0),""))</f>
        <v/>
      </c>
      <c r="N11" s="176" t="str">
        <f>HYPERLINK(IFERROR(VLOOKUP($B11,脆弱性関連情報の確認!$B$4:$H$1048576,6,0),""))</f>
        <v/>
      </c>
      <c r="O11" s="176" t="str">
        <f>HYPERLINK(IFERROR(VLOOKUP($B11,脆弱性関連情報の確認!$B$4:$H$1048576,7,0),""))</f>
        <v/>
      </c>
      <c r="P11" s="148" t="str" cm="1">
        <f t="array" ref="P11">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12" spans="1:16" s="18" customFormat="1" ht="20.100000000000001" customHeight="1">
      <c r="A12" s="72" t="str" cm="1">
        <f t="array" ref="A12">IFERROR(INDEX(脆弱性関連情報の確認!$A$4:$B$500,MATCH(LARGE((脆弱性関連情報の確認!$I$4:$I$500="○")*1/ROW(バージョン情報の確認!$A$4:$A$500),ROWS(脆弱性対策の適用判断!$A$4:$A10)),1/ROW(脆弱性関連情報の確認!$A$4:$A$500),0),COLUMNS(脆弱性関連情報の確認!$A$1:A$1)),"")</f>
        <v/>
      </c>
      <c r="B12" s="75" t="str" cm="1">
        <f t="array" ref="B12">IFERROR(INDEX(脆弱性関連情報の確認!$A$4:$B$500,MATCH(LARGE((脆弱性関連情報の確認!$I$4:$I$500="○")*1/ROW(バージョン情報の確認!$A$4:$A$500),ROWS(脆弱性対策の適用判断!$A$4:$A10)),1/ROW(脆弱性関連情報の確認!$A$4:$A$500),0),COLUMNS(脆弱性関連情報の確認!$A$1:B$1)),"")</f>
        <v/>
      </c>
      <c r="C12" s="73" t="str">
        <f>IFERROR(VLOOKUP($B12,バージョン情報の確認!$B$4:$G$1048576,3,0),"")&amp;""</f>
        <v/>
      </c>
      <c r="D12" s="68"/>
      <c r="E12" s="147"/>
      <c r="F12" s="74"/>
      <c r="G12" s="74"/>
      <c r="H12" s="74"/>
      <c r="I12" s="74"/>
      <c r="J12" s="74"/>
      <c r="K12" s="175" t="str">
        <f>HYPERLINK(IFERROR(VLOOKUP($B12,脆弱性関連情報の確認!$B$4:$H$1048576,3,0),""))</f>
        <v/>
      </c>
      <c r="L12" s="176" t="str">
        <f>HYPERLINK(IFERROR(VLOOKUP($B12,脆弱性関連情報の確認!$B$4:$H$1048576,4,0),""))</f>
        <v/>
      </c>
      <c r="M12" s="176" t="str">
        <f>HYPERLINK(IFERROR(VLOOKUP($B12,脆弱性関連情報の確認!$B$4:$H$1048576,5,0),""))</f>
        <v/>
      </c>
      <c r="N12" s="176" t="str">
        <f>HYPERLINK(IFERROR(VLOOKUP($B12,脆弱性関連情報の確認!$B$4:$H$1048576,6,0),""))</f>
        <v/>
      </c>
      <c r="O12" s="176" t="str">
        <f>HYPERLINK(IFERROR(VLOOKUP($B12,脆弱性関連情報の確認!$B$4:$H$1048576,7,0),""))</f>
        <v/>
      </c>
      <c r="P12" s="148" t="str" cm="1">
        <f t="array" ref="P12">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13" spans="1:16" ht="20.100000000000001" customHeight="1">
      <c r="A13" s="72" t="str" cm="1">
        <f t="array" ref="A13">IFERROR(INDEX(脆弱性関連情報の確認!$A$4:$B$500,MATCH(LARGE((脆弱性関連情報の確認!$I$4:$I$500="○")*1/ROW(バージョン情報の確認!$A$4:$A$500),ROWS(脆弱性対策の適用判断!$A$4:$A11)),1/ROW(脆弱性関連情報の確認!$A$4:$A$500),0),COLUMNS(脆弱性関連情報の確認!$A$1:A$1)),"")</f>
        <v/>
      </c>
      <c r="B13" s="75" t="str" cm="1">
        <f t="array" ref="B13">IFERROR(INDEX(脆弱性関連情報の確認!$A$4:$B$500,MATCH(LARGE((脆弱性関連情報の確認!$I$4:$I$500="○")*1/ROW(バージョン情報の確認!$A$4:$A$500),ROWS(脆弱性対策の適用判断!$A$4:$A11)),1/ROW(脆弱性関連情報の確認!$A$4:$A$500),0),COLUMNS(脆弱性関連情報の確認!$A$1:B$1)),"")</f>
        <v/>
      </c>
      <c r="C13" s="73" t="str">
        <f>IFERROR(VLOOKUP($B13,バージョン情報の確認!$B$4:$G$1048576,3,0),"")&amp;""</f>
        <v/>
      </c>
      <c r="D13" s="68"/>
      <c r="E13" s="147"/>
      <c r="F13" s="74"/>
      <c r="G13" s="74"/>
      <c r="H13" s="74"/>
      <c r="I13" s="74"/>
      <c r="J13" s="74"/>
      <c r="K13" s="175" t="str">
        <f>HYPERLINK(IFERROR(VLOOKUP($B13,脆弱性関連情報の確認!$B$4:$H$1048576,3,0),""))</f>
        <v/>
      </c>
      <c r="L13" s="176" t="str">
        <f>HYPERLINK(IFERROR(VLOOKUP($B13,脆弱性関連情報の確認!$B$4:$H$1048576,4,0),""))</f>
        <v/>
      </c>
      <c r="M13" s="176" t="str">
        <f>HYPERLINK(IFERROR(VLOOKUP($B13,脆弱性関連情報の確認!$B$4:$H$1048576,5,0),""))</f>
        <v/>
      </c>
      <c r="N13" s="176" t="str">
        <f>HYPERLINK(IFERROR(VLOOKUP($B13,脆弱性関連情報の確認!$B$4:$H$1048576,6,0),""))</f>
        <v/>
      </c>
      <c r="O13" s="176" t="str">
        <f>HYPERLINK(IFERROR(VLOOKUP($B13,脆弱性関連情報の確認!$B$4:$H$1048576,7,0),""))</f>
        <v/>
      </c>
      <c r="P13" s="148" t="str" cm="1">
        <f t="array" ref="P13">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14" spans="1:16" ht="20.100000000000001" customHeight="1">
      <c r="A14" s="72" t="str" cm="1">
        <f t="array" ref="A14">IFERROR(INDEX(脆弱性関連情報の確認!$A$4:$B$500,MATCH(LARGE((脆弱性関連情報の確認!$I$4:$I$500="○")*1/ROW(バージョン情報の確認!$A$4:$A$500),ROWS(脆弱性対策の適用判断!$A$4:$A12)),1/ROW(脆弱性関連情報の確認!$A$4:$A$500),0),COLUMNS(脆弱性関連情報の確認!$A$1:A$1)),"")</f>
        <v/>
      </c>
      <c r="B14" s="75" t="str" cm="1">
        <f t="array" ref="B14">IFERROR(INDEX(脆弱性関連情報の確認!$A$4:$B$500,MATCH(LARGE((脆弱性関連情報の確認!$I$4:$I$500="○")*1/ROW(バージョン情報の確認!$A$4:$A$500),ROWS(脆弱性対策の適用判断!$A$4:$A12)),1/ROW(脆弱性関連情報の確認!$A$4:$A$500),0),COLUMNS(脆弱性関連情報の確認!$A$1:B$1)),"")</f>
        <v/>
      </c>
      <c r="C14" s="73" t="str">
        <f>IFERROR(VLOOKUP($B14,バージョン情報の確認!$B$4:$G$1048576,3,0),"")&amp;""</f>
        <v/>
      </c>
      <c r="D14" s="68"/>
      <c r="E14" s="147"/>
      <c r="F14" s="74"/>
      <c r="G14" s="74"/>
      <c r="H14" s="74"/>
      <c r="I14" s="74"/>
      <c r="J14" s="74"/>
      <c r="K14" s="175" t="str">
        <f>HYPERLINK(IFERROR(VLOOKUP($B14,脆弱性関連情報の確認!$B$4:$H$1048576,3,0),""))</f>
        <v/>
      </c>
      <c r="L14" s="176" t="str">
        <f>HYPERLINK(IFERROR(VLOOKUP($B14,脆弱性関連情報の確認!$B$4:$H$1048576,4,0),""))</f>
        <v/>
      </c>
      <c r="M14" s="176" t="str">
        <f>HYPERLINK(IFERROR(VLOOKUP($B14,脆弱性関連情報の確認!$B$4:$H$1048576,5,0),""))</f>
        <v/>
      </c>
      <c r="N14" s="176" t="str">
        <f>HYPERLINK(IFERROR(VLOOKUP($B14,脆弱性関連情報の確認!$B$4:$H$1048576,6,0),""))</f>
        <v/>
      </c>
      <c r="O14" s="176" t="str">
        <f>HYPERLINK(IFERROR(VLOOKUP($B14,脆弱性関連情報の確認!$B$4:$H$1048576,7,0),""))</f>
        <v/>
      </c>
      <c r="P14" s="148" t="str" cm="1">
        <f t="array" ref="P14">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15" spans="1:16" ht="20.100000000000001" customHeight="1">
      <c r="A15" s="72" t="str" cm="1">
        <f t="array" ref="A15">IFERROR(INDEX(脆弱性関連情報の確認!$A$4:$B$500,MATCH(LARGE((脆弱性関連情報の確認!$I$4:$I$500="○")*1/ROW(バージョン情報の確認!$A$4:$A$500),ROWS(脆弱性対策の適用判断!$A$4:$A13)),1/ROW(脆弱性関連情報の確認!$A$4:$A$500),0),COLUMNS(脆弱性関連情報の確認!$A$1:A$1)),"")</f>
        <v/>
      </c>
      <c r="B15" s="75" t="str" cm="1">
        <f t="array" ref="B15">IFERROR(INDEX(脆弱性関連情報の確認!$A$4:$B$500,MATCH(LARGE((脆弱性関連情報の確認!$I$4:$I$500="○")*1/ROW(バージョン情報の確認!$A$4:$A$500),ROWS(脆弱性対策の適用判断!$A$4:$A13)),1/ROW(脆弱性関連情報の確認!$A$4:$A$500),0),COLUMNS(脆弱性関連情報の確認!$A$1:B$1)),"")</f>
        <v/>
      </c>
      <c r="C15" s="73" t="str">
        <f>IFERROR(VLOOKUP($B15,バージョン情報の確認!$B$4:$G$1048576,3,0),"")&amp;""</f>
        <v/>
      </c>
      <c r="D15" s="68"/>
      <c r="E15" s="147"/>
      <c r="F15" s="74"/>
      <c r="G15" s="74"/>
      <c r="H15" s="74"/>
      <c r="I15" s="74"/>
      <c r="J15" s="74"/>
      <c r="K15" s="175" t="str">
        <f>HYPERLINK(IFERROR(VLOOKUP($B15,脆弱性関連情報の確認!$B$4:$H$1048576,3,0),""))</f>
        <v/>
      </c>
      <c r="L15" s="176" t="str">
        <f>HYPERLINK(IFERROR(VLOOKUP($B15,脆弱性関連情報の確認!$B$4:$H$1048576,4,0),""))</f>
        <v/>
      </c>
      <c r="M15" s="176" t="str">
        <f>HYPERLINK(IFERROR(VLOOKUP($B15,脆弱性関連情報の確認!$B$4:$H$1048576,5,0),""))</f>
        <v/>
      </c>
      <c r="N15" s="176" t="str">
        <f>HYPERLINK(IFERROR(VLOOKUP($B15,脆弱性関連情報の確認!$B$4:$H$1048576,6,0),""))</f>
        <v/>
      </c>
      <c r="O15" s="176" t="str">
        <f>HYPERLINK(IFERROR(VLOOKUP($B15,脆弱性関連情報の確認!$B$4:$H$1048576,7,0),""))</f>
        <v/>
      </c>
      <c r="P15" s="148" t="str" cm="1">
        <f t="array" ref="P15">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16" spans="1:16" ht="20.100000000000001" customHeight="1">
      <c r="A16" s="72" t="str" cm="1">
        <f t="array" ref="A16">IFERROR(INDEX(脆弱性関連情報の確認!$A$4:$B$500,MATCH(LARGE((脆弱性関連情報の確認!$I$4:$I$500="○")*1/ROW(バージョン情報の確認!$A$4:$A$500),ROWS(脆弱性対策の適用判断!$A$4:$A14)),1/ROW(脆弱性関連情報の確認!$A$4:$A$500),0),COLUMNS(脆弱性関連情報の確認!$A$1:A$1)),"")</f>
        <v/>
      </c>
      <c r="B16" s="75" t="str" cm="1">
        <f t="array" ref="B16">IFERROR(INDEX(脆弱性関連情報の確認!$A$4:$B$500,MATCH(LARGE((脆弱性関連情報の確認!$I$4:$I$500="○")*1/ROW(バージョン情報の確認!$A$4:$A$500),ROWS(脆弱性対策の適用判断!$A$4:$A14)),1/ROW(脆弱性関連情報の確認!$A$4:$A$500),0),COLUMNS(脆弱性関連情報の確認!$A$1:B$1)),"")</f>
        <v/>
      </c>
      <c r="C16" s="73" t="str">
        <f>IFERROR(VLOOKUP($B16,バージョン情報の確認!$B$4:$G$1048576,3,0),"")&amp;""</f>
        <v/>
      </c>
      <c r="D16" s="68"/>
      <c r="E16" s="147"/>
      <c r="F16" s="74"/>
      <c r="G16" s="74"/>
      <c r="H16" s="74"/>
      <c r="I16" s="74"/>
      <c r="J16" s="74"/>
      <c r="K16" s="175" t="str">
        <f>HYPERLINK(IFERROR(VLOOKUP($B16,脆弱性関連情報の確認!$B$4:$H$1048576,3,0),""))</f>
        <v/>
      </c>
      <c r="L16" s="176" t="str">
        <f>HYPERLINK(IFERROR(VLOOKUP($B16,脆弱性関連情報の確認!$B$4:$H$1048576,4,0),""))</f>
        <v/>
      </c>
      <c r="M16" s="176" t="str">
        <f>HYPERLINK(IFERROR(VLOOKUP($B16,脆弱性関連情報の確認!$B$4:$H$1048576,5,0),""))</f>
        <v/>
      </c>
      <c r="N16" s="176" t="str">
        <f>HYPERLINK(IFERROR(VLOOKUP($B16,脆弱性関連情報の確認!$B$4:$H$1048576,6,0),""))</f>
        <v/>
      </c>
      <c r="O16" s="176" t="str">
        <f>HYPERLINK(IFERROR(VLOOKUP($B16,脆弱性関連情報の確認!$B$4:$H$1048576,7,0),""))</f>
        <v/>
      </c>
      <c r="P16" s="148" t="str" cm="1">
        <f t="array" ref="P16">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17" spans="1:16" ht="20.100000000000001" customHeight="1">
      <c r="A17" s="72" t="str" cm="1">
        <f t="array" ref="A17">IFERROR(INDEX(脆弱性関連情報の確認!$A$4:$B$500,MATCH(LARGE((脆弱性関連情報の確認!$I$4:$I$500="○")*1/ROW(バージョン情報の確認!$A$4:$A$500),ROWS(脆弱性対策の適用判断!$A$4:$A15)),1/ROW(脆弱性関連情報の確認!$A$4:$A$500),0),COLUMNS(脆弱性関連情報の確認!$A$1:A$1)),"")</f>
        <v/>
      </c>
      <c r="B17" s="75" t="str" cm="1">
        <f t="array" ref="B17">IFERROR(INDEX(脆弱性関連情報の確認!$A$4:$B$500,MATCH(LARGE((脆弱性関連情報の確認!$I$4:$I$500="○")*1/ROW(バージョン情報の確認!$A$4:$A$500),ROWS(脆弱性対策の適用判断!$A$4:$A15)),1/ROW(脆弱性関連情報の確認!$A$4:$A$500),0),COLUMNS(脆弱性関連情報の確認!$A$1:B$1)),"")</f>
        <v/>
      </c>
      <c r="C17" s="73" t="str">
        <f>IFERROR(VLOOKUP($B17,バージョン情報の確認!$B$4:$G$1048576,3,0),"")&amp;""</f>
        <v/>
      </c>
      <c r="D17" s="68"/>
      <c r="E17" s="147"/>
      <c r="F17" s="74"/>
      <c r="G17" s="74"/>
      <c r="H17" s="74"/>
      <c r="I17" s="74"/>
      <c r="J17" s="74"/>
      <c r="K17" s="175" t="str">
        <f>HYPERLINK(IFERROR(VLOOKUP($B17,脆弱性関連情報の確認!$B$4:$H$1048576,3,0),""))</f>
        <v/>
      </c>
      <c r="L17" s="176" t="str">
        <f>HYPERLINK(IFERROR(VLOOKUP($B17,脆弱性関連情報の確認!$B$4:$H$1048576,4,0),""))</f>
        <v/>
      </c>
      <c r="M17" s="176" t="str">
        <f>HYPERLINK(IFERROR(VLOOKUP($B17,脆弱性関連情報の確認!$B$4:$H$1048576,5,0),""))</f>
        <v/>
      </c>
      <c r="N17" s="176" t="str">
        <f>HYPERLINK(IFERROR(VLOOKUP($B17,脆弱性関連情報の確認!$B$4:$H$1048576,6,0),""))</f>
        <v/>
      </c>
      <c r="O17" s="176" t="str">
        <f>HYPERLINK(IFERROR(VLOOKUP($B17,脆弱性関連情報の確認!$B$4:$H$1048576,7,0),""))</f>
        <v/>
      </c>
      <c r="P17" s="148" t="str" cm="1">
        <f t="array" ref="P17">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18" spans="1:16" ht="20.100000000000001" customHeight="1">
      <c r="A18" s="72" t="str" cm="1">
        <f t="array" ref="A18">IFERROR(INDEX(脆弱性関連情報の確認!$A$4:$B$500,MATCH(LARGE((脆弱性関連情報の確認!$I$4:$I$500="○")*1/ROW(バージョン情報の確認!$A$4:$A$500),ROWS(脆弱性対策の適用判断!$A$4:$A16)),1/ROW(脆弱性関連情報の確認!$A$4:$A$500),0),COLUMNS(脆弱性関連情報の確認!$A$1:A$1)),"")</f>
        <v/>
      </c>
      <c r="B18" s="75" t="str" cm="1">
        <f t="array" ref="B18">IFERROR(INDEX(脆弱性関連情報の確認!$A$4:$B$500,MATCH(LARGE((脆弱性関連情報の確認!$I$4:$I$500="○")*1/ROW(バージョン情報の確認!$A$4:$A$500),ROWS(脆弱性対策の適用判断!$A$4:$A16)),1/ROW(脆弱性関連情報の確認!$A$4:$A$500),0),COLUMNS(脆弱性関連情報の確認!$A$1:B$1)),"")</f>
        <v/>
      </c>
      <c r="C18" s="73" t="str">
        <f>IFERROR(VLOOKUP($B18,バージョン情報の確認!$B$4:$G$1048576,3,0),"")&amp;""</f>
        <v/>
      </c>
      <c r="D18" s="68"/>
      <c r="E18" s="147"/>
      <c r="F18" s="74"/>
      <c r="G18" s="74"/>
      <c r="H18" s="74"/>
      <c r="I18" s="74"/>
      <c r="J18" s="74"/>
      <c r="K18" s="175" t="str">
        <f>HYPERLINK(IFERROR(VLOOKUP($B18,脆弱性関連情報の確認!$B$4:$H$1048576,3,0),""))</f>
        <v/>
      </c>
      <c r="L18" s="176" t="str">
        <f>HYPERLINK(IFERROR(VLOOKUP($B18,脆弱性関連情報の確認!$B$4:$H$1048576,4,0),""))</f>
        <v/>
      </c>
      <c r="M18" s="176" t="str">
        <f>HYPERLINK(IFERROR(VLOOKUP($B18,脆弱性関連情報の確認!$B$4:$H$1048576,5,0),""))</f>
        <v/>
      </c>
      <c r="N18" s="176" t="str">
        <f>HYPERLINK(IFERROR(VLOOKUP($B18,脆弱性関連情報の確認!$B$4:$H$1048576,6,0),""))</f>
        <v/>
      </c>
      <c r="O18" s="176" t="str">
        <f>HYPERLINK(IFERROR(VLOOKUP($B18,脆弱性関連情報の確認!$B$4:$H$1048576,7,0),""))</f>
        <v/>
      </c>
      <c r="P18" s="148" t="str" cm="1">
        <f t="array" ref="P18">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19" spans="1:16" ht="20.100000000000001" customHeight="1">
      <c r="A19" s="72" t="str" cm="1">
        <f t="array" ref="A19">IFERROR(INDEX(脆弱性関連情報の確認!$A$4:$B$500,MATCH(LARGE((脆弱性関連情報の確認!$I$4:$I$500="○")*1/ROW(バージョン情報の確認!$A$4:$A$500),ROWS(脆弱性対策の適用判断!$A$4:$A17)),1/ROW(脆弱性関連情報の確認!$A$4:$A$500),0),COLUMNS(脆弱性関連情報の確認!$A$1:A$1)),"")</f>
        <v/>
      </c>
      <c r="B19" s="75" t="str" cm="1">
        <f t="array" ref="B19">IFERROR(INDEX(脆弱性関連情報の確認!$A$4:$B$500,MATCH(LARGE((脆弱性関連情報の確認!$I$4:$I$500="○")*1/ROW(バージョン情報の確認!$A$4:$A$500),ROWS(脆弱性対策の適用判断!$A$4:$A17)),1/ROW(脆弱性関連情報の確認!$A$4:$A$500),0),COLUMNS(脆弱性関連情報の確認!$A$1:B$1)),"")</f>
        <v/>
      </c>
      <c r="C19" s="73" t="str">
        <f>IFERROR(VLOOKUP($B19,バージョン情報の確認!$B$4:$G$1048576,3,0),"")&amp;""</f>
        <v/>
      </c>
      <c r="D19" s="68"/>
      <c r="E19" s="147"/>
      <c r="F19" s="74"/>
      <c r="G19" s="74"/>
      <c r="H19" s="74"/>
      <c r="I19" s="74"/>
      <c r="J19" s="74"/>
      <c r="K19" s="175" t="str">
        <f>HYPERLINK(IFERROR(VLOOKUP($B19,脆弱性関連情報の確認!$B$4:$H$1048576,3,0),""))</f>
        <v/>
      </c>
      <c r="L19" s="176" t="str">
        <f>HYPERLINK(IFERROR(VLOOKUP($B19,脆弱性関連情報の確認!$B$4:$H$1048576,4,0),""))</f>
        <v/>
      </c>
      <c r="M19" s="176" t="str">
        <f>HYPERLINK(IFERROR(VLOOKUP($B19,脆弱性関連情報の確認!$B$4:$H$1048576,5,0),""))</f>
        <v/>
      </c>
      <c r="N19" s="176" t="str">
        <f>HYPERLINK(IFERROR(VLOOKUP($B19,脆弱性関連情報の確認!$B$4:$H$1048576,6,0),""))</f>
        <v/>
      </c>
      <c r="O19" s="176" t="str">
        <f>HYPERLINK(IFERROR(VLOOKUP($B19,脆弱性関連情報の確認!$B$4:$H$1048576,7,0),""))</f>
        <v/>
      </c>
      <c r="P19" s="148" t="str" cm="1">
        <f t="array" ref="P19">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20" spans="1:16" ht="20.100000000000001" customHeight="1">
      <c r="A20" s="72" t="str" cm="1">
        <f t="array" ref="A20">IFERROR(INDEX(脆弱性関連情報の確認!$A$4:$B$500,MATCH(LARGE((脆弱性関連情報の確認!$I$4:$I$500="○")*1/ROW(バージョン情報の確認!$A$4:$A$500),ROWS(脆弱性対策の適用判断!$A$4:$A18)),1/ROW(脆弱性関連情報の確認!$A$4:$A$500),0),COLUMNS(脆弱性関連情報の確認!$A$1:A$1)),"")</f>
        <v/>
      </c>
      <c r="B20" s="75" t="str" cm="1">
        <f t="array" ref="B20">IFERROR(INDEX(脆弱性関連情報の確認!$A$4:$B$500,MATCH(LARGE((脆弱性関連情報の確認!$I$4:$I$500="○")*1/ROW(バージョン情報の確認!$A$4:$A$500),ROWS(脆弱性対策の適用判断!$A$4:$A18)),1/ROW(脆弱性関連情報の確認!$A$4:$A$500),0),COLUMNS(脆弱性関連情報の確認!$A$1:B$1)),"")</f>
        <v/>
      </c>
      <c r="C20" s="73" t="str">
        <f>IFERROR(VLOOKUP($B20,バージョン情報の確認!$B$4:$G$1048576,3,0),"")&amp;""</f>
        <v/>
      </c>
      <c r="D20" s="68"/>
      <c r="E20" s="147"/>
      <c r="F20" s="74"/>
      <c r="G20" s="74"/>
      <c r="H20" s="74"/>
      <c r="I20" s="74"/>
      <c r="J20" s="74"/>
      <c r="K20" s="175" t="str">
        <f>HYPERLINK(IFERROR(VLOOKUP($B20,脆弱性関連情報の確認!$B$4:$H$1048576,3,0),""))</f>
        <v/>
      </c>
      <c r="L20" s="176" t="str">
        <f>HYPERLINK(IFERROR(VLOOKUP($B20,脆弱性関連情報の確認!$B$4:$H$1048576,4,0),""))</f>
        <v/>
      </c>
      <c r="M20" s="176" t="str">
        <f>HYPERLINK(IFERROR(VLOOKUP($B20,脆弱性関連情報の確認!$B$4:$H$1048576,5,0),""))</f>
        <v/>
      </c>
      <c r="N20" s="176" t="str">
        <f>HYPERLINK(IFERROR(VLOOKUP($B20,脆弱性関連情報の確認!$B$4:$H$1048576,6,0),""))</f>
        <v/>
      </c>
      <c r="O20" s="176" t="str">
        <f>HYPERLINK(IFERROR(VLOOKUP($B20,脆弱性関連情報の確認!$B$4:$H$1048576,7,0),""))</f>
        <v/>
      </c>
      <c r="P20" s="148" t="str" cm="1">
        <f t="array" ref="P20">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21" spans="1:16" ht="20.100000000000001" customHeight="1">
      <c r="A21" s="72" t="str" cm="1">
        <f t="array" ref="A21">IFERROR(INDEX(脆弱性関連情報の確認!$A$4:$B$500,MATCH(LARGE((脆弱性関連情報の確認!$I$4:$I$500="○")*1/ROW(バージョン情報の確認!$A$4:$A$500),ROWS(脆弱性対策の適用判断!$A$4:$A19)),1/ROW(脆弱性関連情報の確認!$A$4:$A$500),0),COLUMNS(脆弱性関連情報の確認!$A$1:A$1)),"")</f>
        <v/>
      </c>
      <c r="B21" s="75" t="str" cm="1">
        <f t="array" ref="B21">IFERROR(INDEX(脆弱性関連情報の確認!$A$4:$B$500,MATCH(LARGE((脆弱性関連情報の確認!$I$4:$I$500="○")*1/ROW(バージョン情報の確認!$A$4:$A$500),ROWS(脆弱性対策の適用判断!$A$4:$A19)),1/ROW(脆弱性関連情報の確認!$A$4:$A$500),0),COLUMNS(脆弱性関連情報の確認!$A$1:B$1)),"")</f>
        <v/>
      </c>
      <c r="C21" s="73" t="str">
        <f>IFERROR(VLOOKUP($B21,バージョン情報の確認!$B$4:$G$1048576,3,0),"")&amp;""</f>
        <v/>
      </c>
      <c r="D21" s="68"/>
      <c r="E21" s="147"/>
      <c r="F21" s="74"/>
      <c r="G21" s="74"/>
      <c r="H21" s="74"/>
      <c r="I21" s="74"/>
      <c r="J21" s="74"/>
      <c r="K21" s="175" t="str">
        <f>HYPERLINK(IFERROR(VLOOKUP($B21,脆弱性関連情報の確認!$B$4:$H$1048576,3,0),""))</f>
        <v/>
      </c>
      <c r="L21" s="176" t="str">
        <f>HYPERLINK(IFERROR(VLOOKUP($B21,脆弱性関連情報の確認!$B$4:$H$1048576,4,0),""))</f>
        <v/>
      </c>
      <c r="M21" s="176" t="str">
        <f>HYPERLINK(IFERROR(VLOOKUP($B21,脆弱性関連情報の確認!$B$4:$H$1048576,5,0),""))</f>
        <v/>
      </c>
      <c r="N21" s="176" t="str">
        <f>HYPERLINK(IFERROR(VLOOKUP($B21,脆弱性関連情報の確認!$B$4:$H$1048576,6,0),""))</f>
        <v/>
      </c>
      <c r="O21" s="176" t="str">
        <f>HYPERLINK(IFERROR(VLOOKUP($B21,脆弱性関連情報の確認!$B$4:$H$1048576,7,0),""))</f>
        <v/>
      </c>
      <c r="P21" s="148" t="str" cm="1">
        <f t="array" ref="P21">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22" spans="1:16" ht="20.100000000000001" customHeight="1">
      <c r="A22" s="72" t="str" cm="1">
        <f t="array" ref="A22">IFERROR(INDEX(脆弱性関連情報の確認!$A$4:$B$500,MATCH(LARGE((脆弱性関連情報の確認!$I$4:$I$500="○")*1/ROW(バージョン情報の確認!$A$4:$A$500),ROWS(脆弱性対策の適用判断!$A$4:$A20)),1/ROW(脆弱性関連情報の確認!$A$4:$A$500),0),COLUMNS(脆弱性関連情報の確認!$A$1:A$1)),"")</f>
        <v/>
      </c>
      <c r="B22" s="75" t="str" cm="1">
        <f t="array" ref="B22">IFERROR(INDEX(脆弱性関連情報の確認!$A$4:$B$500,MATCH(LARGE((脆弱性関連情報の確認!$I$4:$I$500="○")*1/ROW(バージョン情報の確認!$A$4:$A$500),ROWS(脆弱性対策の適用判断!$A$4:$A20)),1/ROW(脆弱性関連情報の確認!$A$4:$A$500),0),COLUMNS(脆弱性関連情報の確認!$A$1:B$1)),"")</f>
        <v/>
      </c>
      <c r="C22" s="73" t="str">
        <f>IFERROR(VLOOKUP($B22,バージョン情報の確認!$B$4:$G$1048576,3,0),"")&amp;""</f>
        <v/>
      </c>
      <c r="D22" s="68"/>
      <c r="E22" s="147"/>
      <c r="F22" s="74"/>
      <c r="G22" s="74"/>
      <c r="H22" s="74"/>
      <c r="I22" s="74"/>
      <c r="J22" s="74"/>
      <c r="K22" s="175" t="str">
        <f>HYPERLINK(IFERROR(VLOOKUP($B22,脆弱性関連情報の確認!$B$4:$H$1048576,3,0),""))</f>
        <v/>
      </c>
      <c r="L22" s="176" t="str">
        <f>HYPERLINK(IFERROR(VLOOKUP($B22,脆弱性関連情報の確認!$B$4:$H$1048576,4,0),""))</f>
        <v/>
      </c>
      <c r="M22" s="176" t="str">
        <f>HYPERLINK(IFERROR(VLOOKUP($B22,脆弱性関連情報の確認!$B$4:$H$1048576,5,0),""))</f>
        <v/>
      </c>
      <c r="N22" s="176" t="str">
        <f>HYPERLINK(IFERROR(VLOOKUP($B22,脆弱性関連情報の確認!$B$4:$H$1048576,6,0),""))</f>
        <v/>
      </c>
      <c r="O22" s="176" t="str">
        <f>HYPERLINK(IFERROR(VLOOKUP($B22,脆弱性関連情報の確認!$B$4:$H$1048576,7,0),""))</f>
        <v/>
      </c>
      <c r="P22" s="148" t="str" cm="1">
        <f t="array" ref="P22">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23" spans="1:16" ht="20.100000000000001" customHeight="1">
      <c r="A23" s="72" t="str" cm="1">
        <f t="array" ref="A23">IFERROR(INDEX(脆弱性関連情報の確認!$A$4:$B$500,MATCH(LARGE((脆弱性関連情報の確認!$I$4:$I$500="○")*1/ROW(バージョン情報の確認!$A$4:$A$500),ROWS(脆弱性対策の適用判断!$A$4:$A21)),1/ROW(脆弱性関連情報の確認!$A$4:$A$500),0),COLUMNS(脆弱性関連情報の確認!$A$1:A$1)),"")</f>
        <v/>
      </c>
      <c r="B23" s="75" t="str" cm="1">
        <f t="array" ref="B23">IFERROR(INDEX(脆弱性関連情報の確認!$A$4:$B$500,MATCH(LARGE((脆弱性関連情報の確認!$I$4:$I$500="○")*1/ROW(バージョン情報の確認!$A$4:$A$500),ROWS(脆弱性対策の適用判断!$A$4:$A21)),1/ROW(脆弱性関連情報の確認!$A$4:$A$500),0),COLUMNS(脆弱性関連情報の確認!$A$1:B$1)),"")</f>
        <v/>
      </c>
      <c r="C23" s="73" t="str">
        <f>IFERROR(VLOOKUP($B23,バージョン情報の確認!$B$4:$G$1048576,3,0),"")&amp;""</f>
        <v/>
      </c>
      <c r="D23" s="68"/>
      <c r="E23" s="147"/>
      <c r="F23" s="74"/>
      <c r="G23" s="74"/>
      <c r="H23" s="74"/>
      <c r="I23" s="74"/>
      <c r="J23" s="74"/>
      <c r="K23" s="175" t="str">
        <f>HYPERLINK(IFERROR(VLOOKUP($B23,脆弱性関連情報の確認!$B$4:$H$1048576,3,0),""))</f>
        <v/>
      </c>
      <c r="L23" s="176" t="str">
        <f>HYPERLINK(IFERROR(VLOOKUP($B23,脆弱性関連情報の確認!$B$4:$H$1048576,4,0),""))</f>
        <v/>
      </c>
      <c r="M23" s="176" t="str">
        <f>HYPERLINK(IFERROR(VLOOKUP($B23,脆弱性関連情報の確認!$B$4:$H$1048576,5,0),""))</f>
        <v/>
      </c>
      <c r="N23" s="176" t="str">
        <f>HYPERLINK(IFERROR(VLOOKUP($B23,脆弱性関連情報の確認!$B$4:$H$1048576,6,0),""))</f>
        <v/>
      </c>
      <c r="O23" s="176" t="str">
        <f>HYPERLINK(IFERROR(VLOOKUP($B23,脆弱性関連情報の確認!$B$4:$H$1048576,7,0),""))</f>
        <v/>
      </c>
      <c r="P23" s="148" t="str" cm="1">
        <f t="array" ref="P23">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24" spans="1:16" ht="20.100000000000001" customHeight="1">
      <c r="A24" s="72" t="str" cm="1">
        <f t="array" ref="A24">IFERROR(INDEX(脆弱性関連情報の確認!$A$4:$B$500,MATCH(LARGE((脆弱性関連情報の確認!$I$4:$I$500="○")*1/ROW(バージョン情報の確認!$A$4:$A$500),ROWS(脆弱性対策の適用判断!$A$4:$A22)),1/ROW(脆弱性関連情報の確認!$A$4:$A$500),0),COLUMNS(脆弱性関連情報の確認!$A$1:A$1)),"")</f>
        <v/>
      </c>
      <c r="B24" s="75" t="str" cm="1">
        <f t="array" ref="B24">IFERROR(INDEX(脆弱性関連情報の確認!$A$4:$B$500,MATCH(LARGE((脆弱性関連情報の確認!$I$4:$I$500="○")*1/ROW(バージョン情報の確認!$A$4:$A$500),ROWS(脆弱性対策の適用判断!$A$4:$A22)),1/ROW(脆弱性関連情報の確認!$A$4:$A$500),0),COLUMNS(脆弱性関連情報の確認!$A$1:B$1)),"")</f>
        <v/>
      </c>
      <c r="C24" s="73" t="str">
        <f>IFERROR(VLOOKUP($B24,バージョン情報の確認!$B$4:$G$1048576,3,0),"")&amp;""</f>
        <v/>
      </c>
      <c r="D24" s="68"/>
      <c r="E24" s="147"/>
      <c r="F24" s="74"/>
      <c r="G24" s="74"/>
      <c r="H24" s="74"/>
      <c r="I24" s="74"/>
      <c r="J24" s="74"/>
      <c r="K24" s="175" t="str">
        <f>HYPERLINK(IFERROR(VLOOKUP($B24,脆弱性関連情報の確認!$B$4:$H$1048576,3,0),""))</f>
        <v/>
      </c>
      <c r="L24" s="176" t="str">
        <f>HYPERLINK(IFERROR(VLOOKUP($B24,脆弱性関連情報の確認!$B$4:$H$1048576,4,0),""))</f>
        <v/>
      </c>
      <c r="M24" s="176" t="str">
        <f>HYPERLINK(IFERROR(VLOOKUP($B24,脆弱性関連情報の確認!$B$4:$H$1048576,5,0),""))</f>
        <v/>
      </c>
      <c r="N24" s="176" t="str">
        <f>HYPERLINK(IFERROR(VLOOKUP($B24,脆弱性関連情報の確認!$B$4:$H$1048576,6,0),""))</f>
        <v/>
      </c>
      <c r="O24" s="176" t="str">
        <f>HYPERLINK(IFERROR(VLOOKUP($B24,脆弱性関連情報の確認!$B$4:$H$1048576,7,0),""))</f>
        <v/>
      </c>
      <c r="P24" s="148" t="str" cm="1">
        <f t="array" ref="P24">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25" spans="1:16" ht="20.100000000000001" customHeight="1">
      <c r="A25" s="72" t="str" cm="1">
        <f t="array" ref="A25">IFERROR(INDEX(脆弱性関連情報の確認!$A$4:$B$500,MATCH(LARGE((脆弱性関連情報の確認!$I$4:$I$500="○")*1/ROW(バージョン情報の確認!$A$4:$A$500),ROWS(脆弱性対策の適用判断!$A$4:$A23)),1/ROW(脆弱性関連情報の確認!$A$4:$A$500),0),COLUMNS(脆弱性関連情報の確認!$A$1:A$1)),"")</f>
        <v/>
      </c>
      <c r="B25" s="75" t="str" cm="1">
        <f t="array" ref="B25">IFERROR(INDEX(脆弱性関連情報の確認!$A$4:$B$500,MATCH(LARGE((脆弱性関連情報の確認!$I$4:$I$500="○")*1/ROW(バージョン情報の確認!$A$4:$A$500),ROWS(脆弱性対策の適用判断!$A$4:$A23)),1/ROW(脆弱性関連情報の確認!$A$4:$A$500),0),COLUMNS(脆弱性関連情報の確認!$A$1:B$1)),"")</f>
        <v/>
      </c>
      <c r="C25" s="73" t="str">
        <f>IFERROR(VLOOKUP($B25,バージョン情報の確認!$B$4:$G$1048576,3,0),"")&amp;""</f>
        <v/>
      </c>
      <c r="D25" s="68"/>
      <c r="E25" s="147"/>
      <c r="F25" s="74"/>
      <c r="G25" s="74"/>
      <c r="H25" s="74"/>
      <c r="I25" s="74"/>
      <c r="J25" s="74"/>
      <c r="K25" s="175" t="str">
        <f>HYPERLINK(IFERROR(VLOOKUP($B25,脆弱性関連情報の確認!$B$4:$H$1048576,3,0),""))</f>
        <v/>
      </c>
      <c r="L25" s="176" t="str">
        <f>HYPERLINK(IFERROR(VLOOKUP($B25,脆弱性関連情報の確認!$B$4:$H$1048576,4,0),""))</f>
        <v/>
      </c>
      <c r="M25" s="176" t="str">
        <f>HYPERLINK(IFERROR(VLOOKUP($B25,脆弱性関連情報の確認!$B$4:$H$1048576,5,0),""))</f>
        <v/>
      </c>
      <c r="N25" s="176" t="str">
        <f>HYPERLINK(IFERROR(VLOOKUP($B25,脆弱性関連情報の確認!$B$4:$H$1048576,6,0),""))</f>
        <v/>
      </c>
      <c r="O25" s="176" t="str">
        <f>HYPERLINK(IFERROR(VLOOKUP($B25,脆弱性関連情報の確認!$B$4:$H$1048576,7,0),""))</f>
        <v/>
      </c>
      <c r="P25" s="148" t="str" cm="1">
        <f t="array" ref="P25">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26" spans="1:16" ht="20.100000000000001" customHeight="1">
      <c r="A26" s="72" t="str" cm="1">
        <f t="array" ref="A26">IFERROR(INDEX(脆弱性関連情報の確認!$A$4:$B$500,MATCH(LARGE((脆弱性関連情報の確認!$I$4:$I$500="○")*1/ROW(バージョン情報の確認!$A$4:$A$500),ROWS(脆弱性対策の適用判断!$A$4:$A24)),1/ROW(脆弱性関連情報の確認!$A$4:$A$500),0),COLUMNS(脆弱性関連情報の確認!$A$1:A$1)),"")</f>
        <v/>
      </c>
      <c r="B26" s="75" t="str" cm="1">
        <f t="array" ref="B26">IFERROR(INDEX(脆弱性関連情報の確認!$A$4:$B$500,MATCH(LARGE((脆弱性関連情報の確認!$I$4:$I$500="○")*1/ROW(バージョン情報の確認!$A$4:$A$500),ROWS(脆弱性対策の適用判断!$A$4:$A24)),1/ROW(脆弱性関連情報の確認!$A$4:$A$500),0),COLUMNS(脆弱性関連情報の確認!$A$1:B$1)),"")</f>
        <v/>
      </c>
      <c r="C26" s="73" t="str">
        <f>IFERROR(VLOOKUP($B26,バージョン情報の確認!$B$4:$G$1048576,3,0),"")&amp;""</f>
        <v/>
      </c>
      <c r="D26" s="68"/>
      <c r="E26" s="147"/>
      <c r="F26" s="74"/>
      <c r="G26" s="74"/>
      <c r="H26" s="74"/>
      <c r="I26" s="74"/>
      <c r="J26" s="74"/>
      <c r="K26" s="175" t="str">
        <f>HYPERLINK(IFERROR(VLOOKUP($B26,脆弱性関連情報の確認!$B$4:$H$1048576,3,0),""))</f>
        <v/>
      </c>
      <c r="L26" s="176" t="str">
        <f>HYPERLINK(IFERROR(VLOOKUP($B26,脆弱性関連情報の確認!$B$4:$H$1048576,4,0),""))</f>
        <v/>
      </c>
      <c r="M26" s="176" t="str">
        <f>HYPERLINK(IFERROR(VLOOKUP($B26,脆弱性関連情報の確認!$B$4:$H$1048576,5,0),""))</f>
        <v/>
      </c>
      <c r="N26" s="176" t="str">
        <f>HYPERLINK(IFERROR(VLOOKUP($B26,脆弱性関連情報の確認!$B$4:$H$1048576,6,0),""))</f>
        <v/>
      </c>
      <c r="O26" s="176" t="str">
        <f>HYPERLINK(IFERROR(VLOOKUP($B26,脆弱性関連情報の確認!$B$4:$H$1048576,7,0),""))</f>
        <v/>
      </c>
      <c r="P26" s="148" t="str" cm="1">
        <f t="array" ref="P26">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27" spans="1:16" ht="20.100000000000001" customHeight="1">
      <c r="A27" s="72" t="str" cm="1">
        <f t="array" ref="A27">IFERROR(INDEX(脆弱性関連情報の確認!$A$4:$B$500,MATCH(LARGE((脆弱性関連情報の確認!$I$4:$I$500="○")*1/ROW(バージョン情報の確認!$A$4:$A$500),ROWS(脆弱性対策の適用判断!$A$4:$A25)),1/ROW(脆弱性関連情報の確認!$A$4:$A$500),0),COLUMNS(脆弱性関連情報の確認!$A$1:A$1)),"")</f>
        <v/>
      </c>
      <c r="B27" s="75" t="str" cm="1">
        <f t="array" ref="B27">IFERROR(INDEX(脆弱性関連情報の確認!$A$4:$B$500,MATCH(LARGE((脆弱性関連情報の確認!$I$4:$I$500="○")*1/ROW(バージョン情報の確認!$A$4:$A$500),ROWS(脆弱性対策の適用判断!$A$4:$A25)),1/ROW(脆弱性関連情報の確認!$A$4:$A$500),0),COLUMNS(脆弱性関連情報の確認!$A$1:B$1)),"")</f>
        <v/>
      </c>
      <c r="C27" s="73" t="str">
        <f>IFERROR(VLOOKUP($B27,バージョン情報の確認!$B$4:$G$1048576,3,0),"")&amp;""</f>
        <v/>
      </c>
      <c r="D27" s="68"/>
      <c r="E27" s="147"/>
      <c r="F27" s="74"/>
      <c r="G27" s="74"/>
      <c r="H27" s="74"/>
      <c r="I27" s="74"/>
      <c r="J27" s="74"/>
      <c r="K27" s="175" t="str">
        <f>HYPERLINK(IFERROR(VLOOKUP($B27,脆弱性関連情報の確認!$B$4:$H$1048576,3,0),""))</f>
        <v/>
      </c>
      <c r="L27" s="176" t="str">
        <f>HYPERLINK(IFERROR(VLOOKUP($B27,脆弱性関連情報の確認!$B$4:$H$1048576,4,0),""))</f>
        <v/>
      </c>
      <c r="M27" s="176" t="str">
        <f>HYPERLINK(IFERROR(VLOOKUP($B27,脆弱性関連情報の確認!$B$4:$H$1048576,5,0),""))</f>
        <v/>
      </c>
      <c r="N27" s="176" t="str">
        <f>HYPERLINK(IFERROR(VLOOKUP($B27,脆弱性関連情報の確認!$B$4:$H$1048576,6,0),""))</f>
        <v/>
      </c>
      <c r="O27" s="176" t="str">
        <f>HYPERLINK(IFERROR(VLOOKUP($B27,脆弱性関連情報の確認!$B$4:$H$1048576,7,0),""))</f>
        <v/>
      </c>
      <c r="P27" s="148" t="str" cm="1">
        <f t="array" ref="P27">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28" spans="1:16" ht="20.100000000000001" customHeight="1">
      <c r="A28" s="72" t="str" cm="1">
        <f t="array" ref="A28">IFERROR(INDEX(脆弱性関連情報の確認!$A$4:$B$500,MATCH(LARGE((脆弱性関連情報の確認!$I$4:$I$500="○")*1/ROW(バージョン情報の確認!$A$4:$A$500),ROWS(脆弱性対策の適用判断!$A$4:$A26)),1/ROW(脆弱性関連情報の確認!$A$4:$A$500),0),COLUMNS(脆弱性関連情報の確認!$A$1:A$1)),"")</f>
        <v/>
      </c>
      <c r="B28" s="75" t="str" cm="1">
        <f t="array" ref="B28">IFERROR(INDEX(脆弱性関連情報の確認!$A$4:$B$500,MATCH(LARGE((脆弱性関連情報の確認!$I$4:$I$500="○")*1/ROW(バージョン情報の確認!$A$4:$A$500),ROWS(脆弱性対策の適用判断!$A$4:$A26)),1/ROW(脆弱性関連情報の確認!$A$4:$A$500),0),COLUMNS(脆弱性関連情報の確認!$A$1:B$1)),"")</f>
        <v/>
      </c>
      <c r="C28" s="73" t="str">
        <f>IFERROR(VLOOKUP($B28,バージョン情報の確認!$B$4:$G$1048576,3,0),"")&amp;""</f>
        <v/>
      </c>
      <c r="D28" s="68"/>
      <c r="E28" s="147"/>
      <c r="F28" s="74"/>
      <c r="G28" s="74"/>
      <c r="H28" s="74"/>
      <c r="I28" s="74"/>
      <c r="J28" s="74"/>
      <c r="K28" s="175" t="str">
        <f>HYPERLINK(IFERROR(VLOOKUP($B28,脆弱性関連情報の確認!$B$4:$H$1048576,3,0),""))</f>
        <v/>
      </c>
      <c r="L28" s="176" t="str">
        <f>HYPERLINK(IFERROR(VLOOKUP($B28,脆弱性関連情報の確認!$B$4:$H$1048576,4,0),""))</f>
        <v/>
      </c>
      <c r="M28" s="176" t="str">
        <f>HYPERLINK(IFERROR(VLOOKUP($B28,脆弱性関連情報の確認!$B$4:$H$1048576,5,0),""))</f>
        <v/>
      </c>
      <c r="N28" s="176" t="str">
        <f>HYPERLINK(IFERROR(VLOOKUP($B28,脆弱性関連情報の確認!$B$4:$H$1048576,6,0),""))</f>
        <v/>
      </c>
      <c r="O28" s="176" t="str">
        <f>HYPERLINK(IFERROR(VLOOKUP($B28,脆弱性関連情報の確認!$B$4:$H$1048576,7,0),""))</f>
        <v/>
      </c>
      <c r="P28" s="148" t="str" cm="1">
        <f t="array" ref="P28">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29" spans="1:16" ht="20.100000000000001" customHeight="1">
      <c r="A29" s="72" t="str" cm="1">
        <f t="array" ref="A29">IFERROR(INDEX(脆弱性関連情報の確認!$A$4:$B$500,MATCH(LARGE((脆弱性関連情報の確認!$I$4:$I$500="○")*1/ROW(バージョン情報の確認!$A$4:$A$500),ROWS(脆弱性対策の適用判断!$A$4:$A27)),1/ROW(脆弱性関連情報の確認!$A$4:$A$500),0),COLUMNS(脆弱性関連情報の確認!$A$1:A$1)),"")</f>
        <v/>
      </c>
      <c r="B29" s="75" t="str" cm="1">
        <f t="array" ref="B29">IFERROR(INDEX(脆弱性関連情報の確認!$A$4:$B$500,MATCH(LARGE((脆弱性関連情報の確認!$I$4:$I$500="○")*1/ROW(バージョン情報の確認!$A$4:$A$500),ROWS(脆弱性対策の適用判断!$A$4:$A27)),1/ROW(脆弱性関連情報の確認!$A$4:$A$500),0),COLUMNS(脆弱性関連情報の確認!$A$1:B$1)),"")</f>
        <v/>
      </c>
      <c r="C29" s="73" t="str">
        <f>IFERROR(VLOOKUP($B29,バージョン情報の確認!$B$4:$G$1048576,3,0),"")&amp;""</f>
        <v/>
      </c>
      <c r="D29" s="68"/>
      <c r="E29" s="147"/>
      <c r="F29" s="74"/>
      <c r="G29" s="74"/>
      <c r="H29" s="74"/>
      <c r="I29" s="74"/>
      <c r="J29" s="74"/>
      <c r="K29" s="175" t="str">
        <f>HYPERLINK(IFERROR(VLOOKUP($B29,脆弱性関連情報の確認!$B$4:$H$1048576,3,0),""))</f>
        <v/>
      </c>
      <c r="L29" s="176" t="str">
        <f>HYPERLINK(IFERROR(VLOOKUP($B29,脆弱性関連情報の確認!$B$4:$H$1048576,4,0),""))</f>
        <v/>
      </c>
      <c r="M29" s="176" t="str">
        <f>HYPERLINK(IFERROR(VLOOKUP($B29,脆弱性関連情報の確認!$B$4:$H$1048576,5,0),""))</f>
        <v/>
      </c>
      <c r="N29" s="176" t="str">
        <f>HYPERLINK(IFERROR(VLOOKUP($B29,脆弱性関連情報の確認!$B$4:$H$1048576,6,0),""))</f>
        <v/>
      </c>
      <c r="O29" s="176" t="str">
        <f>HYPERLINK(IFERROR(VLOOKUP($B29,脆弱性関連情報の確認!$B$4:$H$1048576,7,0),""))</f>
        <v/>
      </c>
      <c r="P29" s="148" t="str" cm="1">
        <f t="array" ref="P29">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30" spans="1:16" ht="20.100000000000001" customHeight="1">
      <c r="A30" s="72" t="str" cm="1">
        <f t="array" ref="A30">IFERROR(INDEX(脆弱性関連情報の確認!$A$4:$B$500,MATCH(LARGE((脆弱性関連情報の確認!$I$4:$I$500="○")*1/ROW(バージョン情報の確認!$A$4:$A$500),ROWS(脆弱性対策の適用判断!$A$4:$A28)),1/ROW(脆弱性関連情報の確認!$A$4:$A$500),0),COLUMNS(脆弱性関連情報の確認!$A$1:A$1)),"")</f>
        <v/>
      </c>
      <c r="B30" s="75" t="str" cm="1">
        <f t="array" ref="B30">IFERROR(INDEX(脆弱性関連情報の確認!$A$4:$B$500,MATCH(LARGE((脆弱性関連情報の確認!$I$4:$I$500="○")*1/ROW(バージョン情報の確認!$A$4:$A$500),ROWS(脆弱性対策の適用判断!$A$4:$A28)),1/ROW(脆弱性関連情報の確認!$A$4:$A$500),0),COLUMNS(脆弱性関連情報の確認!$A$1:B$1)),"")</f>
        <v/>
      </c>
      <c r="C30" s="73" t="str">
        <f>IFERROR(VLOOKUP($B30,バージョン情報の確認!$B$4:$G$1048576,3,0),"")&amp;""</f>
        <v/>
      </c>
      <c r="D30" s="68"/>
      <c r="E30" s="147"/>
      <c r="F30" s="74"/>
      <c r="G30" s="74"/>
      <c r="H30" s="74"/>
      <c r="I30" s="74"/>
      <c r="J30" s="74"/>
      <c r="K30" s="175" t="str">
        <f>HYPERLINK(IFERROR(VLOOKUP($B30,脆弱性関連情報の確認!$B$4:$H$1048576,3,0),""))</f>
        <v/>
      </c>
      <c r="L30" s="176" t="str">
        <f>HYPERLINK(IFERROR(VLOOKUP($B30,脆弱性関連情報の確認!$B$4:$H$1048576,4,0),""))</f>
        <v/>
      </c>
      <c r="M30" s="176" t="str">
        <f>HYPERLINK(IFERROR(VLOOKUP($B30,脆弱性関連情報の確認!$B$4:$H$1048576,5,0),""))</f>
        <v/>
      </c>
      <c r="N30" s="176" t="str">
        <f>HYPERLINK(IFERROR(VLOOKUP($B30,脆弱性関連情報の確認!$B$4:$H$1048576,6,0),""))</f>
        <v/>
      </c>
      <c r="O30" s="176" t="str">
        <f>HYPERLINK(IFERROR(VLOOKUP($B30,脆弱性関連情報の確認!$B$4:$H$1048576,7,0),""))</f>
        <v/>
      </c>
      <c r="P30" s="148" t="str" cm="1">
        <f t="array" ref="P30">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31" spans="1:16" ht="20.100000000000001" customHeight="1">
      <c r="A31" s="72" t="str" cm="1">
        <f t="array" ref="A31">IFERROR(INDEX(脆弱性関連情報の確認!$A$4:$B$500,MATCH(LARGE((脆弱性関連情報の確認!$I$4:$I$500="○")*1/ROW(バージョン情報の確認!$A$4:$A$500),ROWS(脆弱性対策の適用判断!$A$4:$A29)),1/ROW(脆弱性関連情報の確認!$A$4:$A$500),0),COLUMNS(脆弱性関連情報の確認!$A$1:A$1)),"")</f>
        <v/>
      </c>
      <c r="B31" s="75" t="str" cm="1">
        <f t="array" ref="B31">IFERROR(INDEX(脆弱性関連情報の確認!$A$4:$B$500,MATCH(LARGE((脆弱性関連情報の確認!$I$4:$I$500="○")*1/ROW(バージョン情報の確認!$A$4:$A$500),ROWS(脆弱性対策の適用判断!$A$4:$A29)),1/ROW(脆弱性関連情報の確認!$A$4:$A$500),0),COLUMNS(脆弱性関連情報の確認!$A$1:B$1)),"")</f>
        <v/>
      </c>
      <c r="C31" s="73" t="str">
        <f>IFERROR(VLOOKUP($B31,バージョン情報の確認!$B$4:$G$1048576,3,0),"")&amp;""</f>
        <v/>
      </c>
      <c r="D31" s="68"/>
      <c r="E31" s="147"/>
      <c r="F31" s="74"/>
      <c r="G31" s="74"/>
      <c r="H31" s="74"/>
      <c r="I31" s="74"/>
      <c r="J31" s="74"/>
      <c r="K31" s="175" t="str">
        <f>HYPERLINK(IFERROR(VLOOKUP($B31,脆弱性関連情報の確認!$B$4:$H$1048576,3,0),""))</f>
        <v/>
      </c>
      <c r="L31" s="176" t="str">
        <f>HYPERLINK(IFERROR(VLOOKUP($B31,脆弱性関連情報の確認!$B$4:$H$1048576,4,0),""))</f>
        <v/>
      </c>
      <c r="M31" s="176" t="str">
        <f>HYPERLINK(IFERROR(VLOOKUP($B31,脆弱性関連情報の確認!$B$4:$H$1048576,5,0),""))</f>
        <v/>
      </c>
      <c r="N31" s="176" t="str">
        <f>HYPERLINK(IFERROR(VLOOKUP($B31,脆弱性関連情報の確認!$B$4:$H$1048576,6,0),""))</f>
        <v/>
      </c>
      <c r="O31" s="176" t="str">
        <f>HYPERLINK(IFERROR(VLOOKUP($B31,脆弱性関連情報の確認!$B$4:$H$1048576,7,0),""))</f>
        <v/>
      </c>
      <c r="P31" s="148" t="str" cm="1">
        <f t="array" ref="P31">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32" spans="1:16" ht="20.100000000000001" customHeight="1">
      <c r="A32" s="72" t="str" cm="1">
        <f t="array" ref="A32">IFERROR(INDEX(脆弱性関連情報の確認!$A$4:$B$500,MATCH(LARGE((脆弱性関連情報の確認!$I$4:$I$500="○")*1/ROW(バージョン情報の確認!$A$4:$A$500),ROWS(脆弱性対策の適用判断!$A$4:$A30)),1/ROW(脆弱性関連情報の確認!$A$4:$A$500),0),COLUMNS(脆弱性関連情報の確認!$A$1:A$1)),"")</f>
        <v/>
      </c>
      <c r="B32" s="75" t="str" cm="1">
        <f t="array" ref="B32">IFERROR(INDEX(脆弱性関連情報の確認!$A$4:$B$500,MATCH(LARGE((脆弱性関連情報の確認!$I$4:$I$500="○")*1/ROW(バージョン情報の確認!$A$4:$A$500),ROWS(脆弱性対策の適用判断!$A$4:$A30)),1/ROW(脆弱性関連情報の確認!$A$4:$A$500),0),COLUMNS(脆弱性関連情報の確認!$A$1:B$1)),"")</f>
        <v/>
      </c>
      <c r="C32" s="73" t="str">
        <f>IFERROR(VLOOKUP($B32,バージョン情報の確認!$B$4:$G$1048576,3,0),"")&amp;""</f>
        <v/>
      </c>
      <c r="D32" s="68"/>
      <c r="E32" s="147"/>
      <c r="F32" s="74"/>
      <c r="G32" s="74"/>
      <c r="H32" s="74"/>
      <c r="I32" s="74"/>
      <c r="J32" s="74"/>
      <c r="K32" s="175" t="str">
        <f>HYPERLINK(IFERROR(VLOOKUP($B32,脆弱性関連情報の確認!$B$4:$H$1048576,3,0),""))</f>
        <v/>
      </c>
      <c r="L32" s="176" t="str">
        <f>HYPERLINK(IFERROR(VLOOKUP($B32,脆弱性関連情報の確認!$B$4:$H$1048576,4,0),""))</f>
        <v/>
      </c>
      <c r="M32" s="176" t="str">
        <f>HYPERLINK(IFERROR(VLOOKUP($B32,脆弱性関連情報の確認!$B$4:$H$1048576,5,0),""))</f>
        <v/>
      </c>
      <c r="N32" s="176" t="str">
        <f>HYPERLINK(IFERROR(VLOOKUP($B32,脆弱性関連情報の確認!$B$4:$H$1048576,6,0),""))</f>
        <v/>
      </c>
      <c r="O32" s="176" t="str">
        <f>HYPERLINK(IFERROR(VLOOKUP($B32,脆弱性関連情報の確認!$B$4:$H$1048576,7,0),""))</f>
        <v/>
      </c>
      <c r="P32" s="148" t="str" cm="1">
        <f t="array" ref="P32">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33" spans="1:16" ht="20.100000000000001" customHeight="1">
      <c r="A33" s="72" t="str" cm="1">
        <f t="array" ref="A33">IFERROR(INDEX(脆弱性関連情報の確認!$A$4:$B$500,MATCH(LARGE((脆弱性関連情報の確認!$I$4:$I$500="○")*1/ROW(バージョン情報の確認!$A$4:$A$500),ROWS(脆弱性対策の適用判断!$A$4:$A31)),1/ROW(脆弱性関連情報の確認!$A$4:$A$500),0),COLUMNS(脆弱性関連情報の確認!$A$1:A$1)),"")</f>
        <v/>
      </c>
      <c r="B33" s="75" t="str" cm="1">
        <f t="array" ref="B33">IFERROR(INDEX(脆弱性関連情報の確認!$A$4:$B$500,MATCH(LARGE((脆弱性関連情報の確認!$I$4:$I$500="○")*1/ROW(バージョン情報の確認!$A$4:$A$500),ROWS(脆弱性対策の適用判断!$A$4:$A31)),1/ROW(脆弱性関連情報の確認!$A$4:$A$500),0),COLUMNS(脆弱性関連情報の確認!$A$1:B$1)),"")</f>
        <v/>
      </c>
      <c r="C33" s="73" t="str">
        <f>IFERROR(VLOOKUP($B33,バージョン情報の確認!$B$4:$G$1048576,3,0),"")&amp;""</f>
        <v/>
      </c>
      <c r="D33" s="68"/>
      <c r="E33" s="147"/>
      <c r="F33" s="74"/>
      <c r="G33" s="74"/>
      <c r="H33" s="74"/>
      <c r="I33" s="74"/>
      <c r="J33" s="74"/>
      <c r="K33" s="175" t="str">
        <f>HYPERLINK(IFERROR(VLOOKUP($B33,脆弱性関連情報の確認!$B$4:$H$1048576,3,0),""))</f>
        <v/>
      </c>
      <c r="L33" s="176" t="str">
        <f>HYPERLINK(IFERROR(VLOOKUP($B33,脆弱性関連情報の確認!$B$4:$H$1048576,4,0),""))</f>
        <v/>
      </c>
      <c r="M33" s="176" t="str">
        <f>HYPERLINK(IFERROR(VLOOKUP($B33,脆弱性関連情報の確認!$B$4:$H$1048576,5,0),""))</f>
        <v/>
      </c>
      <c r="N33" s="176" t="str">
        <f>HYPERLINK(IFERROR(VLOOKUP($B33,脆弱性関連情報の確認!$B$4:$H$1048576,6,0),""))</f>
        <v/>
      </c>
      <c r="O33" s="176" t="str">
        <f>HYPERLINK(IFERROR(VLOOKUP($B33,脆弱性関連情報の確認!$B$4:$H$1048576,7,0),""))</f>
        <v/>
      </c>
      <c r="P33" s="148" t="str" cm="1">
        <f t="array" ref="P33">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34" spans="1:16" ht="20.100000000000001" customHeight="1">
      <c r="A34" s="72" t="str" cm="1">
        <f t="array" ref="A34">IFERROR(INDEX(脆弱性関連情報の確認!$A$4:$B$500,MATCH(LARGE((脆弱性関連情報の確認!$I$4:$I$500="○")*1/ROW(バージョン情報の確認!$A$4:$A$500),ROWS(脆弱性対策の適用判断!$A$4:$A32)),1/ROW(脆弱性関連情報の確認!$A$4:$A$500),0),COLUMNS(脆弱性関連情報の確認!$A$1:A$1)),"")</f>
        <v/>
      </c>
      <c r="B34" s="75" t="str" cm="1">
        <f t="array" ref="B34">IFERROR(INDEX(脆弱性関連情報の確認!$A$4:$B$500,MATCH(LARGE((脆弱性関連情報の確認!$I$4:$I$500="○")*1/ROW(バージョン情報の確認!$A$4:$A$500),ROWS(脆弱性対策の適用判断!$A$4:$A32)),1/ROW(脆弱性関連情報の確認!$A$4:$A$500),0),COLUMNS(脆弱性関連情報の確認!$A$1:B$1)),"")</f>
        <v/>
      </c>
      <c r="C34" s="73" t="str">
        <f>IFERROR(VLOOKUP($B34,バージョン情報の確認!$B$4:$G$1048576,3,0),"")&amp;""</f>
        <v/>
      </c>
      <c r="D34" s="68"/>
      <c r="E34" s="147"/>
      <c r="F34" s="74"/>
      <c r="G34" s="74"/>
      <c r="H34" s="74"/>
      <c r="I34" s="74"/>
      <c r="J34" s="74"/>
      <c r="K34" s="175" t="str">
        <f>HYPERLINK(IFERROR(VLOOKUP($B34,脆弱性関連情報の確認!$B$4:$H$1048576,3,0),""))</f>
        <v/>
      </c>
      <c r="L34" s="176" t="str">
        <f>HYPERLINK(IFERROR(VLOOKUP($B34,脆弱性関連情報の確認!$B$4:$H$1048576,4,0),""))</f>
        <v/>
      </c>
      <c r="M34" s="176" t="str">
        <f>HYPERLINK(IFERROR(VLOOKUP($B34,脆弱性関連情報の確認!$B$4:$H$1048576,5,0),""))</f>
        <v/>
      </c>
      <c r="N34" s="176" t="str">
        <f>HYPERLINK(IFERROR(VLOOKUP($B34,脆弱性関連情報の確認!$B$4:$H$1048576,6,0),""))</f>
        <v/>
      </c>
      <c r="O34" s="176" t="str">
        <f>HYPERLINK(IFERROR(VLOOKUP($B34,脆弱性関連情報の確認!$B$4:$H$1048576,7,0),""))</f>
        <v/>
      </c>
      <c r="P34" s="148" t="str" cm="1">
        <f t="array" ref="P34">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35" spans="1:16" ht="20.100000000000001" customHeight="1">
      <c r="A35" s="72" t="str" cm="1">
        <f t="array" ref="A35">IFERROR(INDEX(脆弱性関連情報の確認!$A$4:$B$500,MATCH(LARGE((脆弱性関連情報の確認!$I$4:$I$500="○")*1/ROW(バージョン情報の確認!$A$4:$A$500),ROWS(脆弱性対策の適用判断!$A$4:$A33)),1/ROW(脆弱性関連情報の確認!$A$4:$A$500),0),COLUMNS(脆弱性関連情報の確認!$A$1:A$1)),"")</f>
        <v/>
      </c>
      <c r="B35" s="75" t="str" cm="1">
        <f t="array" ref="B35">IFERROR(INDEX(脆弱性関連情報の確認!$A$4:$B$500,MATCH(LARGE((脆弱性関連情報の確認!$I$4:$I$500="○")*1/ROW(バージョン情報の確認!$A$4:$A$500),ROWS(脆弱性対策の適用判断!$A$4:$A33)),1/ROW(脆弱性関連情報の確認!$A$4:$A$500),0),COLUMNS(脆弱性関連情報の確認!$A$1:B$1)),"")</f>
        <v/>
      </c>
      <c r="C35" s="73" t="str">
        <f>IFERROR(VLOOKUP($B35,バージョン情報の確認!$B$4:$G$1048576,3,0),"")&amp;""</f>
        <v/>
      </c>
      <c r="D35" s="68"/>
      <c r="E35" s="147"/>
      <c r="F35" s="74"/>
      <c r="G35" s="74"/>
      <c r="H35" s="74"/>
      <c r="I35" s="74"/>
      <c r="J35" s="74"/>
      <c r="K35" s="175" t="str">
        <f>HYPERLINK(IFERROR(VLOOKUP($B35,脆弱性関連情報の確認!$B$4:$H$1048576,3,0),""))</f>
        <v/>
      </c>
      <c r="L35" s="176" t="str">
        <f>HYPERLINK(IFERROR(VLOOKUP($B35,脆弱性関連情報の確認!$B$4:$H$1048576,4,0),""))</f>
        <v/>
      </c>
      <c r="M35" s="176" t="str">
        <f>HYPERLINK(IFERROR(VLOOKUP($B35,脆弱性関連情報の確認!$B$4:$H$1048576,5,0),""))</f>
        <v/>
      </c>
      <c r="N35" s="176" t="str">
        <f>HYPERLINK(IFERROR(VLOOKUP($B35,脆弱性関連情報の確認!$B$4:$H$1048576,6,0),""))</f>
        <v/>
      </c>
      <c r="O35" s="176" t="str">
        <f>HYPERLINK(IFERROR(VLOOKUP($B35,脆弱性関連情報の確認!$B$4:$H$1048576,7,0),""))</f>
        <v/>
      </c>
      <c r="P35" s="148" t="str" cm="1">
        <f t="array" ref="P35">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36" spans="1:16" ht="20.100000000000001" customHeight="1">
      <c r="A36" s="72" t="str" cm="1">
        <f t="array" ref="A36">IFERROR(INDEX(脆弱性関連情報の確認!$A$4:$B$500,MATCH(LARGE((脆弱性関連情報の確認!$I$4:$I$500="○")*1/ROW(バージョン情報の確認!$A$4:$A$500),ROWS(脆弱性対策の適用判断!$A$4:$A34)),1/ROW(脆弱性関連情報の確認!$A$4:$A$500),0),COLUMNS(脆弱性関連情報の確認!$A$1:A$1)),"")</f>
        <v/>
      </c>
      <c r="B36" s="75" t="str" cm="1">
        <f t="array" ref="B36">IFERROR(INDEX(脆弱性関連情報の確認!$A$4:$B$500,MATCH(LARGE((脆弱性関連情報の確認!$I$4:$I$500="○")*1/ROW(バージョン情報の確認!$A$4:$A$500),ROWS(脆弱性対策の適用判断!$A$4:$A34)),1/ROW(脆弱性関連情報の確認!$A$4:$A$500),0),COLUMNS(脆弱性関連情報の確認!$A$1:B$1)),"")</f>
        <v/>
      </c>
      <c r="C36" s="73" t="str">
        <f>IFERROR(VLOOKUP($B36,バージョン情報の確認!$B$4:$G$1048576,3,0),"")&amp;""</f>
        <v/>
      </c>
      <c r="D36" s="68"/>
      <c r="E36" s="147"/>
      <c r="F36" s="74"/>
      <c r="G36" s="74"/>
      <c r="H36" s="74"/>
      <c r="I36" s="74"/>
      <c r="J36" s="74"/>
      <c r="K36" s="175" t="str">
        <f>HYPERLINK(IFERROR(VLOOKUP($B36,脆弱性関連情報の確認!$B$4:$H$1048576,3,0),""))</f>
        <v/>
      </c>
      <c r="L36" s="176" t="str">
        <f>HYPERLINK(IFERROR(VLOOKUP($B36,脆弱性関連情報の確認!$B$4:$H$1048576,4,0),""))</f>
        <v/>
      </c>
      <c r="M36" s="176" t="str">
        <f>HYPERLINK(IFERROR(VLOOKUP($B36,脆弱性関連情報の確認!$B$4:$H$1048576,5,0),""))</f>
        <v/>
      </c>
      <c r="N36" s="176" t="str">
        <f>HYPERLINK(IFERROR(VLOOKUP($B36,脆弱性関連情報の確認!$B$4:$H$1048576,6,0),""))</f>
        <v/>
      </c>
      <c r="O36" s="176" t="str">
        <f>HYPERLINK(IFERROR(VLOOKUP($B36,脆弱性関連情報の確認!$B$4:$H$1048576,7,0),""))</f>
        <v/>
      </c>
      <c r="P36" s="148" t="str" cm="1">
        <f t="array" ref="P36">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37" spans="1:16" ht="20.100000000000001" customHeight="1">
      <c r="A37" s="72" t="str" cm="1">
        <f t="array" ref="A37">IFERROR(INDEX(脆弱性関連情報の確認!$A$4:$B$500,MATCH(LARGE((脆弱性関連情報の確認!$I$4:$I$500="○")*1/ROW(バージョン情報の確認!$A$4:$A$500),ROWS(脆弱性対策の適用判断!$A$4:$A35)),1/ROW(脆弱性関連情報の確認!$A$4:$A$500),0),COLUMNS(脆弱性関連情報の確認!$A$1:A$1)),"")</f>
        <v/>
      </c>
      <c r="B37" s="75" t="str" cm="1">
        <f t="array" ref="B37">IFERROR(INDEX(脆弱性関連情報の確認!$A$4:$B$500,MATCH(LARGE((脆弱性関連情報の確認!$I$4:$I$500="○")*1/ROW(バージョン情報の確認!$A$4:$A$500),ROWS(脆弱性対策の適用判断!$A$4:$A35)),1/ROW(脆弱性関連情報の確認!$A$4:$A$500),0),COLUMNS(脆弱性関連情報の確認!$A$1:B$1)),"")</f>
        <v/>
      </c>
      <c r="C37" s="73" t="str">
        <f>IFERROR(VLOOKUP($B37,バージョン情報の確認!$B$4:$G$1048576,3,0),"")&amp;""</f>
        <v/>
      </c>
      <c r="D37" s="68"/>
      <c r="E37" s="147"/>
      <c r="F37" s="74"/>
      <c r="G37" s="74"/>
      <c r="H37" s="74"/>
      <c r="I37" s="74"/>
      <c r="J37" s="74"/>
      <c r="K37" s="175" t="str">
        <f>HYPERLINK(IFERROR(VLOOKUP($B37,脆弱性関連情報の確認!$B$4:$H$1048576,3,0),""))</f>
        <v/>
      </c>
      <c r="L37" s="176" t="str">
        <f>HYPERLINK(IFERROR(VLOOKUP($B37,脆弱性関連情報の確認!$B$4:$H$1048576,4,0),""))</f>
        <v/>
      </c>
      <c r="M37" s="176" t="str">
        <f>HYPERLINK(IFERROR(VLOOKUP($B37,脆弱性関連情報の確認!$B$4:$H$1048576,5,0),""))</f>
        <v/>
      </c>
      <c r="N37" s="176" t="str">
        <f>HYPERLINK(IFERROR(VLOOKUP($B37,脆弱性関連情報の確認!$B$4:$H$1048576,6,0),""))</f>
        <v/>
      </c>
      <c r="O37" s="176" t="str">
        <f>HYPERLINK(IFERROR(VLOOKUP($B37,脆弱性関連情報の確認!$B$4:$H$1048576,7,0),""))</f>
        <v/>
      </c>
      <c r="P37" s="148" t="str" cm="1">
        <f t="array" ref="P37">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38" spans="1:16" ht="20.100000000000001" customHeight="1">
      <c r="A38" s="72" t="str" cm="1">
        <f t="array" ref="A38">IFERROR(INDEX(脆弱性関連情報の確認!$A$4:$B$500,MATCH(LARGE((脆弱性関連情報の確認!$I$4:$I$500="○")*1/ROW(バージョン情報の確認!$A$4:$A$500),ROWS(脆弱性対策の適用判断!$A$4:$A36)),1/ROW(脆弱性関連情報の確認!$A$4:$A$500),0),COLUMNS(脆弱性関連情報の確認!$A$1:A$1)),"")</f>
        <v/>
      </c>
      <c r="B38" s="75" t="str" cm="1">
        <f t="array" ref="B38">IFERROR(INDEX(脆弱性関連情報の確認!$A$4:$B$500,MATCH(LARGE((脆弱性関連情報の確認!$I$4:$I$500="○")*1/ROW(バージョン情報の確認!$A$4:$A$500),ROWS(脆弱性対策の適用判断!$A$4:$A36)),1/ROW(脆弱性関連情報の確認!$A$4:$A$500),0),COLUMNS(脆弱性関連情報の確認!$A$1:B$1)),"")</f>
        <v/>
      </c>
      <c r="C38" s="73" t="str">
        <f>IFERROR(VLOOKUP($B38,バージョン情報の確認!$B$4:$G$1048576,3,0),"")&amp;""</f>
        <v/>
      </c>
      <c r="D38" s="68"/>
      <c r="E38" s="147"/>
      <c r="F38" s="74"/>
      <c r="G38" s="74"/>
      <c r="H38" s="74"/>
      <c r="I38" s="74"/>
      <c r="J38" s="74"/>
      <c r="K38" s="175" t="str">
        <f>HYPERLINK(IFERROR(VLOOKUP($B38,脆弱性関連情報の確認!$B$4:$H$1048576,3,0),""))</f>
        <v/>
      </c>
      <c r="L38" s="176" t="str">
        <f>HYPERLINK(IFERROR(VLOOKUP($B38,脆弱性関連情報の確認!$B$4:$H$1048576,4,0),""))</f>
        <v/>
      </c>
      <c r="M38" s="176" t="str">
        <f>HYPERLINK(IFERROR(VLOOKUP($B38,脆弱性関連情報の確認!$B$4:$H$1048576,5,0),""))</f>
        <v/>
      </c>
      <c r="N38" s="176" t="str">
        <f>HYPERLINK(IFERROR(VLOOKUP($B38,脆弱性関連情報の確認!$B$4:$H$1048576,6,0),""))</f>
        <v/>
      </c>
      <c r="O38" s="176" t="str">
        <f>HYPERLINK(IFERROR(VLOOKUP($B38,脆弱性関連情報の確認!$B$4:$H$1048576,7,0),""))</f>
        <v/>
      </c>
      <c r="P38" s="148" t="str" cm="1">
        <f t="array" ref="P38">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39" spans="1:16" ht="20.100000000000001" customHeight="1">
      <c r="A39" s="72" t="str" cm="1">
        <f t="array" ref="A39">IFERROR(INDEX(脆弱性関連情報の確認!$A$4:$B$500,MATCH(LARGE((脆弱性関連情報の確認!$I$4:$I$500="○")*1/ROW(バージョン情報の確認!$A$4:$A$500),ROWS(脆弱性対策の適用判断!$A$4:$A37)),1/ROW(脆弱性関連情報の確認!$A$4:$A$500),0),COLUMNS(脆弱性関連情報の確認!$A$1:A$1)),"")</f>
        <v/>
      </c>
      <c r="B39" s="75" t="str" cm="1">
        <f t="array" ref="B39">IFERROR(INDEX(脆弱性関連情報の確認!$A$4:$B$500,MATCH(LARGE((脆弱性関連情報の確認!$I$4:$I$500="○")*1/ROW(バージョン情報の確認!$A$4:$A$500),ROWS(脆弱性対策の適用判断!$A$4:$A37)),1/ROW(脆弱性関連情報の確認!$A$4:$A$500),0),COLUMNS(脆弱性関連情報の確認!$A$1:B$1)),"")</f>
        <v/>
      </c>
      <c r="C39" s="73" t="str">
        <f>IFERROR(VLOOKUP($B39,バージョン情報の確認!$B$4:$G$1048576,3,0),"")&amp;""</f>
        <v/>
      </c>
      <c r="D39" s="68"/>
      <c r="E39" s="147"/>
      <c r="F39" s="74"/>
      <c r="G39" s="74"/>
      <c r="H39" s="74"/>
      <c r="I39" s="74"/>
      <c r="J39" s="74"/>
      <c r="K39" s="175" t="str">
        <f>HYPERLINK(IFERROR(VLOOKUP($B39,脆弱性関連情報の確認!$B$4:$H$1048576,3,0),""))</f>
        <v/>
      </c>
      <c r="L39" s="176" t="str">
        <f>HYPERLINK(IFERROR(VLOOKUP($B39,脆弱性関連情報の確認!$B$4:$H$1048576,4,0),""))</f>
        <v/>
      </c>
      <c r="M39" s="176" t="str">
        <f>HYPERLINK(IFERROR(VLOOKUP($B39,脆弱性関連情報の確認!$B$4:$H$1048576,5,0),""))</f>
        <v/>
      </c>
      <c r="N39" s="176" t="str">
        <f>HYPERLINK(IFERROR(VLOOKUP($B39,脆弱性関連情報の確認!$B$4:$H$1048576,6,0),""))</f>
        <v/>
      </c>
      <c r="O39" s="176" t="str">
        <f>HYPERLINK(IFERROR(VLOOKUP($B39,脆弱性関連情報の確認!$B$4:$H$1048576,7,0),""))</f>
        <v/>
      </c>
      <c r="P39" s="148" t="str" cm="1">
        <f t="array" ref="P39">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40" spans="1:16" ht="20.100000000000001" customHeight="1">
      <c r="A40" s="72" t="str" cm="1">
        <f t="array" ref="A40">IFERROR(INDEX(脆弱性関連情報の確認!$A$4:$B$500,MATCH(LARGE((脆弱性関連情報の確認!$I$4:$I$500="○")*1/ROW(バージョン情報の確認!$A$4:$A$500),ROWS(脆弱性対策の適用判断!$A$4:$A38)),1/ROW(脆弱性関連情報の確認!$A$4:$A$500),0),COLUMNS(脆弱性関連情報の確認!$A$1:A$1)),"")</f>
        <v/>
      </c>
      <c r="B40" s="75" t="str" cm="1">
        <f t="array" ref="B40">IFERROR(INDEX(脆弱性関連情報の確認!$A$4:$B$500,MATCH(LARGE((脆弱性関連情報の確認!$I$4:$I$500="○")*1/ROW(バージョン情報の確認!$A$4:$A$500),ROWS(脆弱性対策の適用判断!$A$4:$A38)),1/ROW(脆弱性関連情報の確認!$A$4:$A$500),0),COLUMNS(脆弱性関連情報の確認!$A$1:B$1)),"")</f>
        <v/>
      </c>
      <c r="C40" s="73" t="str">
        <f>IFERROR(VLOOKUP($B40,バージョン情報の確認!$B$4:$G$1048576,3,0),"")&amp;""</f>
        <v/>
      </c>
      <c r="D40" s="68"/>
      <c r="E40" s="147"/>
      <c r="F40" s="74"/>
      <c r="G40" s="74"/>
      <c r="H40" s="74"/>
      <c r="I40" s="74"/>
      <c r="J40" s="74"/>
      <c r="K40" s="175" t="str">
        <f>HYPERLINK(IFERROR(VLOOKUP($B40,脆弱性関連情報の確認!$B$4:$H$1048576,3,0),""))</f>
        <v/>
      </c>
      <c r="L40" s="176" t="str">
        <f>HYPERLINK(IFERROR(VLOOKUP($B40,脆弱性関連情報の確認!$B$4:$H$1048576,4,0),""))</f>
        <v/>
      </c>
      <c r="M40" s="176" t="str">
        <f>HYPERLINK(IFERROR(VLOOKUP($B40,脆弱性関連情報の確認!$B$4:$H$1048576,5,0),""))</f>
        <v/>
      </c>
      <c r="N40" s="176" t="str">
        <f>HYPERLINK(IFERROR(VLOOKUP($B40,脆弱性関連情報の確認!$B$4:$H$1048576,6,0),""))</f>
        <v/>
      </c>
      <c r="O40" s="176" t="str">
        <f>HYPERLINK(IFERROR(VLOOKUP($B40,脆弱性関連情報の確認!$B$4:$H$1048576,7,0),""))</f>
        <v/>
      </c>
      <c r="P40" s="148" t="str" cm="1">
        <f t="array" ref="P40">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41" spans="1:16" ht="20.100000000000001" customHeight="1">
      <c r="A41" s="72" t="str" cm="1">
        <f t="array" ref="A41">IFERROR(INDEX(脆弱性関連情報の確認!$A$4:$B$500,MATCH(LARGE((脆弱性関連情報の確認!$I$4:$I$500="○")*1/ROW(バージョン情報の確認!$A$4:$A$500),ROWS(脆弱性対策の適用判断!$A$4:$A39)),1/ROW(脆弱性関連情報の確認!$A$4:$A$500),0),COLUMNS(脆弱性関連情報の確認!$A$1:A$1)),"")</f>
        <v/>
      </c>
      <c r="B41" s="75" t="str" cm="1">
        <f t="array" ref="B41">IFERROR(INDEX(脆弱性関連情報の確認!$A$4:$B$500,MATCH(LARGE((脆弱性関連情報の確認!$I$4:$I$500="○")*1/ROW(バージョン情報の確認!$A$4:$A$500),ROWS(脆弱性対策の適用判断!$A$4:$A39)),1/ROW(脆弱性関連情報の確認!$A$4:$A$500),0),COLUMNS(脆弱性関連情報の確認!$A$1:B$1)),"")</f>
        <v/>
      </c>
      <c r="C41" s="73" t="str">
        <f>IFERROR(VLOOKUP($B41,バージョン情報の確認!$B$4:$G$1048576,3,0),"")&amp;""</f>
        <v/>
      </c>
      <c r="D41" s="68"/>
      <c r="E41" s="147"/>
      <c r="F41" s="74"/>
      <c r="G41" s="74"/>
      <c r="H41" s="74"/>
      <c r="I41" s="74"/>
      <c r="J41" s="74"/>
      <c r="K41" s="175" t="str">
        <f>HYPERLINK(IFERROR(VLOOKUP($B41,脆弱性関連情報の確認!$B$4:$H$1048576,3,0),""))</f>
        <v/>
      </c>
      <c r="L41" s="176" t="str">
        <f>HYPERLINK(IFERROR(VLOOKUP($B41,脆弱性関連情報の確認!$B$4:$H$1048576,4,0),""))</f>
        <v/>
      </c>
      <c r="M41" s="176" t="str">
        <f>HYPERLINK(IFERROR(VLOOKUP($B41,脆弱性関連情報の確認!$B$4:$H$1048576,5,0),""))</f>
        <v/>
      </c>
      <c r="N41" s="176" t="str">
        <f>HYPERLINK(IFERROR(VLOOKUP($B41,脆弱性関連情報の確認!$B$4:$H$1048576,6,0),""))</f>
        <v/>
      </c>
      <c r="O41" s="176" t="str">
        <f>HYPERLINK(IFERROR(VLOOKUP($B41,脆弱性関連情報の確認!$B$4:$H$1048576,7,0),""))</f>
        <v/>
      </c>
      <c r="P41" s="148" t="str" cm="1">
        <f t="array" ref="P41">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42" spans="1:16" ht="20.100000000000001" customHeight="1">
      <c r="A42" s="72" t="str" cm="1">
        <f t="array" ref="A42">IFERROR(INDEX(脆弱性関連情報の確認!$A$4:$B$500,MATCH(LARGE((脆弱性関連情報の確認!$I$4:$I$500="○")*1/ROW(バージョン情報の確認!$A$4:$A$500),ROWS(脆弱性対策の適用判断!$A$4:$A40)),1/ROW(脆弱性関連情報の確認!$A$4:$A$500),0),COLUMNS(脆弱性関連情報の確認!$A$1:A$1)),"")</f>
        <v/>
      </c>
      <c r="B42" s="75" t="str" cm="1">
        <f t="array" ref="B42">IFERROR(INDEX(脆弱性関連情報の確認!$A$4:$B$500,MATCH(LARGE((脆弱性関連情報の確認!$I$4:$I$500="○")*1/ROW(バージョン情報の確認!$A$4:$A$500),ROWS(脆弱性対策の適用判断!$A$4:$A40)),1/ROW(脆弱性関連情報の確認!$A$4:$A$500),0),COLUMNS(脆弱性関連情報の確認!$A$1:B$1)),"")</f>
        <v/>
      </c>
      <c r="C42" s="73" t="str">
        <f>IFERROR(VLOOKUP($B42,バージョン情報の確認!$B$4:$G$1048576,3,0),"")&amp;""</f>
        <v/>
      </c>
      <c r="D42" s="68"/>
      <c r="E42" s="147"/>
      <c r="F42" s="74"/>
      <c r="G42" s="74"/>
      <c r="H42" s="74"/>
      <c r="I42" s="74"/>
      <c r="J42" s="74"/>
      <c r="K42" s="175" t="str">
        <f>HYPERLINK(IFERROR(VLOOKUP($B42,脆弱性関連情報の確認!$B$4:$H$1048576,3,0),""))</f>
        <v/>
      </c>
      <c r="L42" s="176" t="str">
        <f>HYPERLINK(IFERROR(VLOOKUP($B42,脆弱性関連情報の確認!$B$4:$H$1048576,4,0),""))</f>
        <v/>
      </c>
      <c r="M42" s="176" t="str">
        <f>HYPERLINK(IFERROR(VLOOKUP($B42,脆弱性関連情報の確認!$B$4:$H$1048576,5,0),""))</f>
        <v/>
      </c>
      <c r="N42" s="176" t="str">
        <f>HYPERLINK(IFERROR(VLOOKUP($B42,脆弱性関連情報の確認!$B$4:$H$1048576,6,0),""))</f>
        <v/>
      </c>
      <c r="O42" s="176" t="str">
        <f>HYPERLINK(IFERROR(VLOOKUP($B42,脆弱性関連情報の確認!$B$4:$H$1048576,7,0),""))</f>
        <v/>
      </c>
      <c r="P42" s="148" t="str" cm="1">
        <f t="array" ref="P42">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43" spans="1:16" ht="20.100000000000001" customHeight="1">
      <c r="A43" s="72" t="str" cm="1">
        <f t="array" ref="A43">IFERROR(INDEX(脆弱性関連情報の確認!$A$4:$B$500,MATCH(LARGE((脆弱性関連情報の確認!$I$4:$I$500="○")*1/ROW(バージョン情報の確認!$A$4:$A$500),ROWS(脆弱性対策の適用判断!$A$4:$A41)),1/ROW(脆弱性関連情報の確認!$A$4:$A$500),0),COLUMNS(脆弱性関連情報の確認!$A$1:A$1)),"")</f>
        <v/>
      </c>
      <c r="B43" s="75" t="str" cm="1">
        <f t="array" ref="B43">IFERROR(INDEX(脆弱性関連情報の確認!$A$4:$B$500,MATCH(LARGE((脆弱性関連情報の確認!$I$4:$I$500="○")*1/ROW(バージョン情報の確認!$A$4:$A$500),ROWS(脆弱性対策の適用判断!$A$4:$A41)),1/ROW(脆弱性関連情報の確認!$A$4:$A$500),0),COLUMNS(脆弱性関連情報の確認!$A$1:B$1)),"")</f>
        <v/>
      </c>
      <c r="C43" s="73" t="str">
        <f>IFERROR(VLOOKUP($B43,バージョン情報の確認!$B$4:$G$1048576,3,0),"")&amp;""</f>
        <v/>
      </c>
      <c r="D43" s="68"/>
      <c r="E43" s="147"/>
      <c r="F43" s="74"/>
      <c r="G43" s="74"/>
      <c r="H43" s="74"/>
      <c r="I43" s="74"/>
      <c r="J43" s="74"/>
      <c r="K43" s="175" t="str">
        <f>HYPERLINK(IFERROR(VLOOKUP($B43,脆弱性関連情報の確認!$B$4:$H$1048576,3,0),""))</f>
        <v/>
      </c>
      <c r="L43" s="176" t="str">
        <f>HYPERLINK(IFERROR(VLOOKUP($B43,脆弱性関連情報の確認!$B$4:$H$1048576,4,0),""))</f>
        <v/>
      </c>
      <c r="M43" s="176" t="str">
        <f>HYPERLINK(IFERROR(VLOOKUP($B43,脆弱性関連情報の確認!$B$4:$H$1048576,5,0),""))</f>
        <v/>
      </c>
      <c r="N43" s="176" t="str">
        <f>HYPERLINK(IFERROR(VLOOKUP($B43,脆弱性関連情報の確認!$B$4:$H$1048576,6,0),""))</f>
        <v/>
      </c>
      <c r="O43" s="176" t="str">
        <f>HYPERLINK(IFERROR(VLOOKUP($B43,脆弱性関連情報の確認!$B$4:$H$1048576,7,0),""))</f>
        <v/>
      </c>
      <c r="P43" s="148" t="str" cm="1">
        <f t="array" ref="P43">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44" spans="1:16" ht="20.100000000000001" customHeight="1">
      <c r="A44" s="72" t="str" cm="1">
        <f t="array" ref="A44">IFERROR(INDEX(脆弱性関連情報の確認!$A$4:$B$500,MATCH(LARGE((脆弱性関連情報の確認!$I$4:$I$500="○")*1/ROW(バージョン情報の確認!$A$4:$A$500),ROWS(脆弱性対策の適用判断!$A$4:$A42)),1/ROW(脆弱性関連情報の確認!$A$4:$A$500),0),COLUMNS(脆弱性関連情報の確認!$A$1:A$1)),"")</f>
        <v/>
      </c>
      <c r="B44" s="75" t="str" cm="1">
        <f t="array" ref="B44">IFERROR(INDEX(脆弱性関連情報の確認!$A$4:$B$500,MATCH(LARGE((脆弱性関連情報の確認!$I$4:$I$500="○")*1/ROW(バージョン情報の確認!$A$4:$A$500),ROWS(脆弱性対策の適用判断!$A$4:$A42)),1/ROW(脆弱性関連情報の確認!$A$4:$A$500),0),COLUMNS(脆弱性関連情報の確認!$A$1:B$1)),"")</f>
        <v/>
      </c>
      <c r="C44" s="73" t="str">
        <f>IFERROR(VLOOKUP($B44,バージョン情報の確認!$B$4:$G$1048576,3,0),"")&amp;""</f>
        <v/>
      </c>
      <c r="D44" s="68"/>
      <c r="E44" s="147"/>
      <c r="F44" s="74"/>
      <c r="G44" s="74"/>
      <c r="H44" s="74"/>
      <c r="I44" s="74"/>
      <c r="J44" s="74"/>
      <c r="K44" s="175" t="str">
        <f>HYPERLINK(IFERROR(VLOOKUP($B44,脆弱性関連情報の確認!$B$4:$H$1048576,3,0),""))</f>
        <v/>
      </c>
      <c r="L44" s="176" t="str">
        <f>HYPERLINK(IFERROR(VLOOKUP($B44,脆弱性関連情報の確認!$B$4:$H$1048576,4,0),""))</f>
        <v/>
      </c>
      <c r="M44" s="176" t="str">
        <f>HYPERLINK(IFERROR(VLOOKUP($B44,脆弱性関連情報の確認!$B$4:$H$1048576,5,0),""))</f>
        <v/>
      </c>
      <c r="N44" s="176" t="str">
        <f>HYPERLINK(IFERROR(VLOOKUP($B44,脆弱性関連情報の確認!$B$4:$H$1048576,6,0),""))</f>
        <v/>
      </c>
      <c r="O44" s="176" t="str">
        <f>HYPERLINK(IFERROR(VLOOKUP($B44,脆弱性関連情報の確認!$B$4:$H$1048576,7,0),""))</f>
        <v/>
      </c>
      <c r="P44" s="148" t="str" cm="1">
        <f t="array" ref="P44">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45" spans="1:16" ht="20.100000000000001" customHeight="1">
      <c r="A45" s="72" t="str" cm="1">
        <f t="array" ref="A45">IFERROR(INDEX(脆弱性関連情報の確認!$A$4:$B$500,MATCH(LARGE((脆弱性関連情報の確認!$I$4:$I$500="○")*1/ROW(バージョン情報の確認!$A$4:$A$500),ROWS(脆弱性対策の適用判断!$A$4:$A43)),1/ROW(脆弱性関連情報の確認!$A$4:$A$500),0),COLUMNS(脆弱性関連情報の確認!$A$1:A$1)),"")</f>
        <v/>
      </c>
      <c r="B45" s="75" t="str" cm="1">
        <f t="array" ref="B45">IFERROR(INDEX(脆弱性関連情報の確認!$A$4:$B$500,MATCH(LARGE((脆弱性関連情報の確認!$I$4:$I$500="○")*1/ROW(バージョン情報の確認!$A$4:$A$500),ROWS(脆弱性対策の適用判断!$A$4:$A43)),1/ROW(脆弱性関連情報の確認!$A$4:$A$500),0),COLUMNS(脆弱性関連情報の確認!$A$1:B$1)),"")</f>
        <v/>
      </c>
      <c r="C45" s="73" t="str">
        <f>IFERROR(VLOOKUP($B45,バージョン情報の確認!$B$4:$G$1048576,3,0),"")&amp;""</f>
        <v/>
      </c>
      <c r="D45" s="68"/>
      <c r="E45" s="147"/>
      <c r="F45" s="74"/>
      <c r="G45" s="74"/>
      <c r="H45" s="74"/>
      <c r="I45" s="74"/>
      <c r="J45" s="74"/>
      <c r="K45" s="175" t="str">
        <f>HYPERLINK(IFERROR(VLOOKUP($B45,脆弱性関連情報の確認!$B$4:$H$1048576,3,0),""))</f>
        <v/>
      </c>
      <c r="L45" s="176" t="str">
        <f>HYPERLINK(IFERROR(VLOOKUP($B45,脆弱性関連情報の確認!$B$4:$H$1048576,4,0),""))</f>
        <v/>
      </c>
      <c r="M45" s="176" t="str">
        <f>HYPERLINK(IFERROR(VLOOKUP($B45,脆弱性関連情報の確認!$B$4:$H$1048576,5,0),""))</f>
        <v/>
      </c>
      <c r="N45" s="176" t="str">
        <f>HYPERLINK(IFERROR(VLOOKUP($B45,脆弱性関連情報の確認!$B$4:$H$1048576,6,0),""))</f>
        <v/>
      </c>
      <c r="O45" s="176" t="str">
        <f>HYPERLINK(IFERROR(VLOOKUP($B45,脆弱性関連情報の確認!$B$4:$H$1048576,7,0),""))</f>
        <v/>
      </c>
      <c r="P45" s="148" t="str" cm="1">
        <f t="array" ref="P45">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46" spans="1:16" ht="20.100000000000001" customHeight="1">
      <c r="A46" s="72" t="str" cm="1">
        <f t="array" ref="A46">IFERROR(INDEX(脆弱性関連情報の確認!$A$4:$B$500,MATCH(LARGE((脆弱性関連情報の確認!$I$4:$I$500="○")*1/ROW(バージョン情報の確認!$A$4:$A$500),ROWS(脆弱性対策の適用判断!$A$4:$A44)),1/ROW(脆弱性関連情報の確認!$A$4:$A$500),0),COLUMNS(脆弱性関連情報の確認!$A$1:A$1)),"")</f>
        <v/>
      </c>
      <c r="B46" s="75" t="str" cm="1">
        <f t="array" ref="B46">IFERROR(INDEX(脆弱性関連情報の確認!$A$4:$B$500,MATCH(LARGE((脆弱性関連情報の確認!$I$4:$I$500="○")*1/ROW(バージョン情報の確認!$A$4:$A$500),ROWS(脆弱性対策の適用判断!$A$4:$A44)),1/ROW(脆弱性関連情報の確認!$A$4:$A$500),0),COLUMNS(脆弱性関連情報の確認!$A$1:B$1)),"")</f>
        <v/>
      </c>
      <c r="C46" s="73" t="str">
        <f>IFERROR(VLOOKUP($B46,バージョン情報の確認!$B$4:$G$1048576,3,0),"")&amp;""</f>
        <v/>
      </c>
      <c r="D46" s="68"/>
      <c r="E46" s="147"/>
      <c r="F46" s="74"/>
      <c r="G46" s="74"/>
      <c r="H46" s="74"/>
      <c r="I46" s="74"/>
      <c r="J46" s="74"/>
      <c r="K46" s="175" t="str">
        <f>HYPERLINK(IFERROR(VLOOKUP($B46,脆弱性関連情報の確認!$B$4:$H$1048576,3,0),""))</f>
        <v/>
      </c>
      <c r="L46" s="176" t="str">
        <f>HYPERLINK(IFERROR(VLOOKUP($B46,脆弱性関連情報の確認!$B$4:$H$1048576,4,0),""))</f>
        <v/>
      </c>
      <c r="M46" s="176" t="str">
        <f>HYPERLINK(IFERROR(VLOOKUP($B46,脆弱性関連情報の確認!$B$4:$H$1048576,5,0),""))</f>
        <v/>
      </c>
      <c r="N46" s="176" t="str">
        <f>HYPERLINK(IFERROR(VLOOKUP($B46,脆弱性関連情報の確認!$B$4:$H$1048576,6,0),""))</f>
        <v/>
      </c>
      <c r="O46" s="176" t="str">
        <f>HYPERLINK(IFERROR(VLOOKUP($B46,脆弱性関連情報の確認!$B$4:$H$1048576,7,0),""))</f>
        <v/>
      </c>
      <c r="P46" s="148" t="str" cm="1">
        <f t="array" ref="P46">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47" spans="1:16" ht="20.100000000000001" customHeight="1">
      <c r="A47" s="72" t="str" cm="1">
        <f t="array" ref="A47">IFERROR(INDEX(脆弱性関連情報の確認!$A$4:$B$500,MATCH(LARGE((脆弱性関連情報の確認!$I$4:$I$500="○")*1/ROW(バージョン情報の確認!$A$4:$A$500),ROWS(脆弱性対策の適用判断!$A$4:$A45)),1/ROW(脆弱性関連情報の確認!$A$4:$A$500),0),COLUMNS(脆弱性関連情報の確認!$A$1:A$1)),"")</f>
        <v/>
      </c>
      <c r="B47" s="75" t="str" cm="1">
        <f t="array" ref="B47">IFERROR(INDEX(脆弱性関連情報の確認!$A$4:$B$500,MATCH(LARGE((脆弱性関連情報の確認!$I$4:$I$500="○")*1/ROW(バージョン情報の確認!$A$4:$A$500),ROWS(脆弱性対策の適用判断!$A$4:$A45)),1/ROW(脆弱性関連情報の確認!$A$4:$A$500),0),COLUMNS(脆弱性関連情報の確認!$A$1:B$1)),"")</f>
        <v/>
      </c>
      <c r="C47" s="73" t="str">
        <f>IFERROR(VLOOKUP($B47,バージョン情報の確認!$B$4:$G$1048576,3,0),"")&amp;""</f>
        <v/>
      </c>
      <c r="D47" s="68"/>
      <c r="E47" s="147"/>
      <c r="F47" s="74"/>
      <c r="G47" s="74"/>
      <c r="H47" s="74"/>
      <c r="I47" s="74"/>
      <c r="J47" s="74"/>
      <c r="K47" s="175" t="str">
        <f>HYPERLINK(IFERROR(VLOOKUP($B47,脆弱性関連情報の確認!$B$4:$H$1048576,3,0),""))</f>
        <v/>
      </c>
      <c r="L47" s="176" t="str">
        <f>HYPERLINK(IFERROR(VLOOKUP($B47,脆弱性関連情報の確認!$B$4:$H$1048576,4,0),""))</f>
        <v/>
      </c>
      <c r="M47" s="176" t="str">
        <f>HYPERLINK(IFERROR(VLOOKUP($B47,脆弱性関連情報の確認!$B$4:$H$1048576,5,0),""))</f>
        <v/>
      </c>
      <c r="N47" s="176" t="str">
        <f>HYPERLINK(IFERROR(VLOOKUP($B47,脆弱性関連情報の確認!$B$4:$H$1048576,6,0),""))</f>
        <v/>
      </c>
      <c r="O47" s="176" t="str">
        <f>HYPERLINK(IFERROR(VLOOKUP($B47,脆弱性関連情報の確認!$B$4:$H$1048576,7,0),""))</f>
        <v/>
      </c>
      <c r="P47" s="148" t="str" cm="1">
        <f t="array" ref="P47">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48" spans="1:16" ht="20.100000000000001" customHeight="1">
      <c r="A48" s="72" t="str" cm="1">
        <f t="array" ref="A48">IFERROR(INDEX(脆弱性関連情報の確認!$A$4:$B$500,MATCH(LARGE((脆弱性関連情報の確認!$I$4:$I$500="○")*1/ROW(バージョン情報の確認!$A$4:$A$500),ROWS(脆弱性対策の適用判断!$A$4:$A46)),1/ROW(脆弱性関連情報の確認!$A$4:$A$500),0),COLUMNS(脆弱性関連情報の確認!$A$1:A$1)),"")</f>
        <v/>
      </c>
      <c r="B48" s="75" t="str" cm="1">
        <f t="array" ref="B48">IFERROR(INDEX(脆弱性関連情報の確認!$A$4:$B$500,MATCH(LARGE((脆弱性関連情報の確認!$I$4:$I$500="○")*1/ROW(バージョン情報の確認!$A$4:$A$500),ROWS(脆弱性対策の適用判断!$A$4:$A46)),1/ROW(脆弱性関連情報の確認!$A$4:$A$500),0),COLUMNS(脆弱性関連情報の確認!$A$1:B$1)),"")</f>
        <v/>
      </c>
      <c r="C48" s="73" t="str">
        <f>IFERROR(VLOOKUP($B48,バージョン情報の確認!$B$4:$G$1048576,3,0),"")&amp;""</f>
        <v/>
      </c>
      <c r="D48" s="68"/>
      <c r="E48" s="147"/>
      <c r="F48" s="74"/>
      <c r="G48" s="74"/>
      <c r="H48" s="74"/>
      <c r="I48" s="74"/>
      <c r="J48" s="74"/>
      <c r="K48" s="175" t="str">
        <f>HYPERLINK(IFERROR(VLOOKUP($B48,脆弱性関連情報の確認!$B$4:$H$1048576,3,0),""))</f>
        <v/>
      </c>
      <c r="L48" s="176" t="str">
        <f>HYPERLINK(IFERROR(VLOOKUP($B48,脆弱性関連情報の確認!$B$4:$H$1048576,4,0),""))</f>
        <v/>
      </c>
      <c r="M48" s="176" t="str">
        <f>HYPERLINK(IFERROR(VLOOKUP($B48,脆弱性関連情報の確認!$B$4:$H$1048576,5,0),""))</f>
        <v/>
      </c>
      <c r="N48" s="176" t="str">
        <f>HYPERLINK(IFERROR(VLOOKUP($B48,脆弱性関連情報の確認!$B$4:$H$1048576,6,0),""))</f>
        <v/>
      </c>
      <c r="O48" s="176" t="str">
        <f>HYPERLINK(IFERROR(VLOOKUP($B48,脆弱性関連情報の確認!$B$4:$H$1048576,7,0),""))</f>
        <v/>
      </c>
      <c r="P48" s="148" t="str" cm="1">
        <f t="array" ref="P48">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49" spans="1:16" ht="20.100000000000001" customHeight="1">
      <c r="A49" s="72" t="str" cm="1">
        <f t="array" ref="A49">IFERROR(INDEX(脆弱性関連情報の確認!$A$4:$B$500,MATCH(LARGE((脆弱性関連情報の確認!$I$4:$I$500="○")*1/ROW(バージョン情報の確認!$A$4:$A$500),ROWS(脆弱性対策の適用判断!$A$4:$A47)),1/ROW(脆弱性関連情報の確認!$A$4:$A$500),0),COLUMNS(脆弱性関連情報の確認!$A$1:A$1)),"")</f>
        <v/>
      </c>
      <c r="B49" s="76" t="str" cm="1">
        <f t="array" ref="B49">IFERROR(INDEX(脆弱性関連情報の確認!$A$4:$B$500,MATCH(LARGE((脆弱性関連情報の確認!$I$4:$I$500="○")*1/ROW(バージョン情報の確認!$A$4:$A$500),ROWS(脆弱性対策の適用判断!$A$4:$A47)),1/ROW(脆弱性関連情報の確認!$A$4:$A$500),0),COLUMNS(脆弱性関連情報の確認!$A$1:B$1)),"")</f>
        <v/>
      </c>
      <c r="C49" s="77" t="str">
        <f>IFERROR(VLOOKUP($B49,バージョン情報の確認!$B$4:$G$1048576,3,0),"")&amp;""</f>
        <v/>
      </c>
      <c r="D49" s="68"/>
      <c r="E49" s="147"/>
      <c r="F49" s="74"/>
      <c r="G49" s="74"/>
      <c r="H49" s="74"/>
      <c r="I49" s="74"/>
      <c r="J49" s="74"/>
      <c r="K49" s="175" t="str">
        <f>HYPERLINK(IFERROR(VLOOKUP($B49,脆弱性関連情報の確認!$B$4:$H$1048576,3,0),""))</f>
        <v/>
      </c>
      <c r="L49" s="176" t="str">
        <f>HYPERLINK(IFERROR(VLOOKUP($B49,脆弱性関連情報の確認!$B$4:$H$1048576,4,0),""))</f>
        <v/>
      </c>
      <c r="M49" s="176" t="str">
        <f>HYPERLINK(IFERROR(VLOOKUP($B49,脆弱性関連情報の確認!$B$4:$H$1048576,5,0),""))</f>
        <v/>
      </c>
      <c r="N49" s="176" t="str">
        <f>HYPERLINK(IFERROR(VLOOKUP($B49,脆弱性関連情報の確認!$B$4:$H$1048576,6,0),""))</f>
        <v/>
      </c>
      <c r="O49" s="176" t="str">
        <f>HYPERLINK(IFERROR(VLOOKUP($B49,脆弱性関連情報の確認!$B$4:$H$1048576,7,0),""))</f>
        <v/>
      </c>
      <c r="P49" s="148" t="str" cm="1">
        <f t="array" ref="P49">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50" spans="1:16" ht="20.100000000000001" customHeight="1">
      <c r="A50" s="72" t="str" cm="1">
        <f t="array" ref="A50">IFERROR(INDEX(脆弱性関連情報の確認!$A$4:$B$500,MATCH(LARGE((脆弱性関連情報の確認!$I$4:$I$500="○")*1/ROW(バージョン情報の確認!$A$4:$A$500),ROWS(脆弱性対策の適用判断!$A$4:$A48)),1/ROW(脆弱性関連情報の確認!$A$4:$A$500),0),COLUMNS(脆弱性関連情報の確認!$A$1:A$1)),"")</f>
        <v/>
      </c>
      <c r="B50" s="76" t="str" cm="1">
        <f t="array" ref="B50">IFERROR(INDEX(脆弱性関連情報の確認!$A$4:$B$500,MATCH(LARGE((脆弱性関連情報の確認!$I$4:$I$500="○")*1/ROW(バージョン情報の確認!$A$4:$A$500),ROWS(脆弱性対策の適用判断!$A$4:$A48)),1/ROW(脆弱性関連情報の確認!$A$4:$A$500),0),COLUMNS(脆弱性関連情報の確認!$A$1:B$1)),"")</f>
        <v/>
      </c>
      <c r="C50" s="77" t="str">
        <f>IFERROR(VLOOKUP($B50,バージョン情報の確認!$B$4:$G$1048576,3,0),"")&amp;""</f>
        <v/>
      </c>
      <c r="D50" s="68"/>
      <c r="E50" s="147"/>
      <c r="F50" s="74"/>
      <c r="G50" s="74"/>
      <c r="H50" s="74"/>
      <c r="I50" s="74"/>
      <c r="J50" s="74"/>
      <c r="K50" s="175" t="str">
        <f>HYPERLINK(IFERROR(VLOOKUP($B50,脆弱性関連情報の確認!$B$4:$H$1048576,3,0),""))</f>
        <v/>
      </c>
      <c r="L50" s="176" t="str">
        <f>HYPERLINK(IFERROR(VLOOKUP($B50,脆弱性関連情報の確認!$B$4:$H$1048576,4,0),""))</f>
        <v/>
      </c>
      <c r="M50" s="176" t="str">
        <f>HYPERLINK(IFERROR(VLOOKUP($B50,脆弱性関連情報の確認!$B$4:$H$1048576,5,0),""))</f>
        <v/>
      </c>
      <c r="N50" s="176" t="str">
        <f>HYPERLINK(IFERROR(VLOOKUP($B50,脆弱性関連情報の確認!$B$4:$H$1048576,6,0),""))</f>
        <v/>
      </c>
      <c r="O50" s="176" t="str">
        <f>HYPERLINK(IFERROR(VLOOKUP($B50,脆弱性関連情報の確認!$B$4:$H$1048576,7,0),""))</f>
        <v/>
      </c>
      <c r="P50" s="148" t="str" cm="1">
        <f t="array" ref="P50">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51" spans="1:16" ht="20.100000000000001" customHeight="1">
      <c r="A51" s="72" t="str" cm="1">
        <f t="array" ref="A51">IFERROR(INDEX(脆弱性関連情報の確認!$A$4:$B$500,MATCH(LARGE((脆弱性関連情報の確認!$I$4:$I$500="○")*1/ROW(バージョン情報の確認!$A$4:$A$500),ROWS(脆弱性対策の適用判断!$A$4:$A49)),1/ROW(脆弱性関連情報の確認!$A$4:$A$500),0),COLUMNS(脆弱性関連情報の確認!$A$1:A$1)),"")</f>
        <v/>
      </c>
      <c r="B51" s="76" t="str" cm="1">
        <f t="array" ref="B51">IFERROR(INDEX(脆弱性関連情報の確認!$A$4:$B$500,MATCH(LARGE((脆弱性関連情報の確認!$I$4:$I$500="○")*1/ROW(バージョン情報の確認!$A$4:$A$500),ROWS(脆弱性対策の適用判断!$A$4:$A49)),1/ROW(脆弱性関連情報の確認!$A$4:$A$500),0),COLUMNS(脆弱性関連情報の確認!$A$1:B$1)),"")</f>
        <v/>
      </c>
      <c r="C51" s="77" t="str">
        <f>IFERROR(VLOOKUP($B51,バージョン情報の確認!$B$4:$G$1048576,3,0),"")&amp;""</f>
        <v/>
      </c>
      <c r="D51" s="68"/>
      <c r="E51" s="147"/>
      <c r="F51" s="74"/>
      <c r="G51" s="74"/>
      <c r="H51" s="74"/>
      <c r="I51" s="74"/>
      <c r="J51" s="74"/>
      <c r="K51" s="175" t="str">
        <f>HYPERLINK(IFERROR(VLOOKUP($B51,脆弱性関連情報の確認!$B$4:$H$1048576,3,0),""))</f>
        <v/>
      </c>
      <c r="L51" s="176" t="str">
        <f>HYPERLINK(IFERROR(VLOOKUP($B51,脆弱性関連情報の確認!$B$4:$H$1048576,4,0),""))</f>
        <v/>
      </c>
      <c r="M51" s="176" t="str">
        <f>HYPERLINK(IFERROR(VLOOKUP($B51,脆弱性関連情報の確認!$B$4:$H$1048576,5,0),""))</f>
        <v/>
      </c>
      <c r="N51" s="176" t="str">
        <f>HYPERLINK(IFERROR(VLOOKUP($B51,脆弱性関連情報の確認!$B$4:$H$1048576,6,0),""))</f>
        <v/>
      </c>
      <c r="O51" s="176" t="str">
        <f>HYPERLINK(IFERROR(VLOOKUP($B51,脆弱性関連情報の確認!$B$4:$H$1048576,7,0),""))</f>
        <v/>
      </c>
      <c r="P51" s="148" t="str" cm="1">
        <f t="array" ref="P51">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52" spans="1:16" ht="20.100000000000001" customHeight="1">
      <c r="A52" s="72" t="str" cm="1">
        <f t="array" ref="A52">IFERROR(INDEX(脆弱性関連情報の確認!$A$4:$B$500,MATCH(LARGE((脆弱性関連情報の確認!$I$4:$I$500="○")*1/ROW(バージョン情報の確認!$A$4:$A$500),ROWS(脆弱性対策の適用判断!$A$4:$A50)),1/ROW(脆弱性関連情報の確認!$A$4:$A$500),0),COLUMNS(脆弱性関連情報の確認!$A$1:A$1)),"")</f>
        <v/>
      </c>
      <c r="B52" s="76" t="str" cm="1">
        <f t="array" ref="B52">IFERROR(INDEX(脆弱性関連情報の確認!$A$4:$B$500,MATCH(LARGE((脆弱性関連情報の確認!$I$4:$I$500="○")*1/ROW(バージョン情報の確認!$A$4:$A$500),ROWS(脆弱性対策の適用判断!$A$4:$A50)),1/ROW(脆弱性関連情報の確認!$A$4:$A$500),0),COLUMNS(脆弱性関連情報の確認!$A$1:B$1)),"")</f>
        <v/>
      </c>
      <c r="C52" s="77" t="str">
        <f>IFERROR(VLOOKUP($B52,バージョン情報の確認!$B$4:$G$1048576,3,0),"")&amp;""</f>
        <v/>
      </c>
      <c r="D52" s="68"/>
      <c r="E52" s="147"/>
      <c r="F52" s="74"/>
      <c r="G52" s="74"/>
      <c r="H52" s="74"/>
      <c r="I52" s="74"/>
      <c r="J52" s="74"/>
      <c r="K52" s="175" t="str">
        <f>HYPERLINK(IFERROR(VLOOKUP($B52,脆弱性関連情報の確認!$B$4:$H$1048576,3,0),""))</f>
        <v/>
      </c>
      <c r="L52" s="176" t="str">
        <f>HYPERLINK(IFERROR(VLOOKUP($B52,脆弱性関連情報の確認!$B$4:$H$1048576,4,0),""))</f>
        <v/>
      </c>
      <c r="M52" s="176" t="str">
        <f>HYPERLINK(IFERROR(VLOOKUP($B52,脆弱性関連情報の確認!$B$4:$H$1048576,5,0),""))</f>
        <v/>
      </c>
      <c r="N52" s="176" t="str">
        <f>HYPERLINK(IFERROR(VLOOKUP($B52,脆弱性関連情報の確認!$B$4:$H$1048576,6,0),""))</f>
        <v/>
      </c>
      <c r="O52" s="176" t="str">
        <f>HYPERLINK(IFERROR(VLOOKUP($B52,脆弱性関連情報の確認!$B$4:$H$1048576,7,0),""))</f>
        <v/>
      </c>
      <c r="P52" s="148" t="str" cm="1">
        <f t="array" ref="P52">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53" spans="1:16" ht="20.100000000000001" customHeight="1">
      <c r="A53" s="72" t="str" cm="1">
        <f t="array" ref="A53">IFERROR(INDEX(脆弱性関連情報の確認!$A$4:$B$500,MATCH(LARGE((脆弱性関連情報の確認!$I$4:$I$500="○")*1/ROW(バージョン情報の確認!$A$4:$A$500),ROWS(脆弱性対策の適用判断!$A$4:$A51)),1/ROW(脆弱性関連情報の確認!$A$4:$A$500),0),COLUMNS(脆弱性関連情報の確認!$A$1:A$1)),"")</f>
        <v/>
      </c>
      <c r="B53" s="76" t="str" cm="1">
        <f t="array" ref="B53">IFERROR(INDEX(脆弱性関連情報の確認!$A$4:$B$500,MATCH(LARGE((脆弱性関連情報の確認!$I$4:$I$500="○")*1/ROW(バージョン情報の確認!$A$4:$A$500),ROWS(脆弱性対策の適用判断!$A$4:$A51)),1/ROW(脆弱性関連情報の確認!$A$4:$A$500),0),COLUMNS(脆弱性関連情報の確認!$A$1:B$1)),"")</f>
        <v/>
      </c>
      <c r="C53" s="77" t="str">
        <f>IFERROR(VLOOKUP($B53,バージョン情報の確認!$B$4:$G$1048576,3,0),"")&amp;""</f>
        <v/>
      </c>
      <c r="D53" s="68"/>
      <c r="E53" s="147"/>
      <c r="F53" s="74"/>
      <c r="G53" s="74"/>
      <c r="H53" s="74"/>
      <c r="I53" s="74"/>
      <c r="J53" s="74"/>
      <c r="K53" s="175" t="str">
        <f>HYPERLINK(IFERROR(VLOOKUP($B53,脆弱性関連情報の確認!$B$4:$H$1048576,3,0),""))</f>
        <v/>
      </c>
      <c r="L53" s="176" t="str">
        <f>HYPERLINK(IFERROR(VLOOKUP($B53,脆弱性関連情報の確認!$B$4:$H$1048576,4,0),""))</f>
        <v/>
      </c>
      <c r="M53" s="176" t="str">
        <f>HYPERLINK(IFERROR(VLOOKUP($B53,脆弱性関連情報の確認!$B$4:$H$1048576,5,0),""))</f>
        <v/>
      </c>
      <c r="N53" s="176" t="str">
        <f>HYPERLINK(IFERROR(VLOOKUP($B53,脆弱性関連情報の確認!$B$4:$H$1048576,6,0),""))</f>
        <v/>
      </c>
      <c r="O53" s="176" t="str">
        <f>HYPERLINK(IFERROR(VLOOKUP($B53,脆弱性関連情報の確認!$B$4:$H$1048576,7,0),""))</f>
        <v/>
      </c>
      <c r="P53" s="148" t="str" cm="1">
        <f t="array" ref="P53">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54" spans="1:16" ht="20.100000000000001" customHeight="1">
      <c r="A54" s="72" t="str" cm="1">
        <f t="array" ref="A54">IFERROR(INDEX(脆弱性関連情報の確認!$A$4:$B$500,MATCH(LARGE((脆弱性関連情報の確認!$I$4:$I$500="○")*1/ROW(バージョン情報の確認!$A$4:$A$500),ROWS(脆弱性対策の適用判断!$A$4:$A52)),1/ROW(脆弱性関連情報の確認!$A$4:$A$500),0),COLUMNS(脆弱性関連情報の確認!$A$1:A$1)),"")</f>
        <v/>
      </c>
      <c r="B54" s="76" t="str" cm="1">
        <f t="array" ref="B54">IFERROR(INDEX(脆弱性関連情報の確認!$A$4:$B$500,MATCH(LARGE((脆弱性関連情報の確認!$I$4:$I$500="○")*1/ROW(バージョン情報の確認!$A$4:$A$500),ROWS(脆弱性対策の適用判断!$A$4:$A52)),1/ROW(脆弱性関連情報の確認!$A$4:$A$500),0),COLUMNS(脆弱性関連情報の確認!$A$1:B$1)),"")</f>
        <v/>
      </c>
      <c r="C54" s="77" t="str">
        <f>IFERROR(VLOOKUP($B54,バージョン情報の確認!$B$4:$G$1048576,3,0),"")&amp;""</f>
        <v/>
      </c>
      <c r="D54" s="68"/>
      <c r="E54" s="147"/>
      <c r="F54" s="74"/>
      <c r="G54" s="74"/>
      <c r="H54" s="74"/>
      <c r="I54" s="74"/>
      <c r="J54" s="74"/>
      <c r="K54" s="175" t="str">
        <f>HYPERLINK(IFERROR(VLOOKUP($B54,脆弱性関連情報の確認!$B$4:$H$1048576,3,0),""))</f>
        <v/>
      </c>
      <c r="L54" s="176" t="str">
        <f>HYPERLINK(IFERROR(VLOOKUP($B54,脆弱性関連情報の確認!$B$4:$H$1048576,4,0),""))</f>
        <v/>
      </c>
      <c r="M54" s="176" t="str">
        <f>HYPERLINK(IFERROR(VLOOKUP($B54,脆弱性関連情報の確認!$B$4:$H$1048576,5,0),""))</f>
        <v/>
      </c>
      <c r="N54" s="176" t="str">
        <f>HYPERLINK(IFERROR(VLOOKUP($B54,脆弱性関連情報の確認!$B$4:$H$1048576,6,0),""))</f>
        <v/>
      </c>
      <c r="O54" s="176" t="str">
        <f>HYPERLINK(IFERROR(VLOOKUP($B54,脆弱性関連情報の確認!$B$4:$H$1048576,7,0),""))</f>
        <v/>
      </c>
      <c r="P54" s="148" t="str" cm="1">
        <f t="array" ref="P54">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55" spans="1:16" ht="20.100000000000001" customHeight="1">
      <c r="A55" s="72" t="str" cm="1">
        <f t="array" ref="A55">IFERROR(INDEX(脆弱性関連情報の確認!$A$4:$B$500,MATCH(LARGE((脆弱性関連情報の確認!$I$4:$I$500="○")*1/ROW(バージョン情報の確認!$A$4:$A$500),ROWS(脆弱性対策の適用判断!$A$4:$A53)),1/ROW(脆弱性関連情報の確認!$A$4:$A$500),0),COLUMNS(脆弱性関連情報の確認!$A$1:A$1)),"")</f>
        <v/>
      </c>
      <c r="B55" s="76" t="str" cm="1">
        <f t="array" ref="B55">IFERROR(INDEX(脆弱性関連情報の確認!$A$4:$B$500,MATCH(LARGE((脆弱性関連情報の確認!$I$4:$I$500="○")*1/ROW(バージョン情報の確認!$A$4:$A$500),ROWS(脆弱性対策の適用判断!$A$4:$A53)),1/ROW(脆弱性関連情報の確認!$A$4:$A$500),0),COLUMNS(脆弱性関連情報の確認!$A$1:B$1)),"")</f>
        <v/>
      </c>
      <c r="C55" s="77" t="str">
        <f>IFERROR(VLOOKUP($B55,バージョン情報の確認!$B$4:$G$1048576,3,0),"")&amp;""</f>
        <v/>
      </c>
      <c r="D55" s="68"/>
      <c r="E55" s="147"/>
      <c r="F55" s="74"/>
      <c r="G55" s="74"/>
      <c r="H55" s="74"/>
      <c r="I55" s="74"/>
      <c r="J55" s="74"/>
      <c r="K55" s="175" t="str">
        <f>HYPERLINK(IFERROR(VLOOKUP($B55,脆弱性関連情報の確認!$B$4:$H$1048576,3,0),""))</f>
        <v/>
      </c>
      <c r="L55" s="176" t="str">
        <f>HYPERLINK(IFERROR(VLOOKUP($B55,脆弱性関連情報の確認!$B$4:$H$1048576,4,0),""))</f>
        <v/>
      </c>
      <c r="M55" s="176" t="str">
        <f>HYPERLINK(IFERROR(VLOOKUP($B55,脆弱性関連情報の確認!$B$4:$H$1048576,5,0),""))</f>
        <v/>
      </c>
      <c r="N55" s="176" t="str">
        <f>HYPERLINK(IFERROR(VLOOKUP($B55,脆弱性関連情報の確認!$B$4:$H$1048576,6,0),""))</f>
        <v/>
      </c>
      <c r="O55" s="176" t="str">
        <f>HYPERLINK(IFERROR(VLOOKUP($B55,脆弱性関連情報の確認!$B$4:$H$1048576,7,0),""))</f>
        <v/>
      </c>
      <c r="P55" s="148" t="str" cm="1">
        <f t="array" ref="P55">IFERROR(_xlfn.IFS(
テーブル17[[#This Row],[CVSS評価はいくつか（現状値or環境値）]]=緊急度・対応方針設定!$A$4,緊急度・対応方針設定!$B$4,
テーブル17[[#This Row],[脆弱性を悪用した攻撃は行われているか]]=緊急度・対応方針設定!$A$11,緊急度・対応方針設定!$B$11,
テーブル17[[#This Row],[ベンダによる脆弱性の評価はいくつか]]=緊急度・対応方針設定!$A$17,緊急度・対応方針設定!$B$17,
テーブル17[[#This Row],[CVSS評価はいくつか（現状値or環境値）]]=緊急度・対応方針設定!$A$5,緊急度・対応方針設定!$B$5,
テーブル17[[#This Row],[ネットワーク越しからの攻撃が可能か]]=緊急度・対応方針設定!$A$12,緊急度・対応方針設定!$B$12,
テーブル17[[#This Row],[実証コード（PoC）は公開されているか]]=緊急度・対応方針設定!$A$13,緊急度・対応方針設定!$B$13,
テーブル17[[#This Row],[ゼロデイ脆弱性か]]=緊急度・対応方針設定!$A$14,緊急度・対応方針設定!$B$14,
テーブル17[[#This Row],[ベンダによる脆弱性の評価はいくつか]]=緊急度・対応方針設定!$A$18,緊急度・対応方針設定!$B$18,
テーブル17[[#This Row],[CVSS評価はいくつか（現状値or環境値）]]=緊急度・対応方針設定!$A$6,緊急度・対応方針設定!$B$6,
テーブル17[[#This Row],[ベンダによる脆弱性の評価はいくつか]]=緊急度・対応方針設定!$A$19,緊急度・対応方針設定!$B$19,
テーブル17[[#This Row],[CVSS評価はいくつか（現状値or環境値）]]=緊急度・対応方針設定!$A$7,緊急度・対応方針設定!$B$7,
テーブル17[[#This Row],[ベンダによる脆弱性の評価はいくつか]]=緊急度・対応方針設定!$A$20,緊急度・対応方針設定!$B$20,
テーブル17[[#This Row],[CVSS評価はいくつか（現状値or環境値）]]=緊急度・対応方針設定!$A$8,緊急度・対応方針設定!$B$8,
テーブル17[[#This Row],[ベンダによる脆弱性の評価はいくつか]]=緊急度・対応方針設定!$A$21,緊急度・対応方針設定!$B$21
),"")</f>
        <v/>
      </c>
    </row>
    <row r="495" spans="1:10" ht="20.100000000000001" customHeight="1">
      <c r="A495" s="7"/>
      <c r="B495" s="19"/>
      <c r="C495" s="19"/>
      <c r="D495" s="19"/>
      <c r="E495" s="19"/>
      <c r="F495" s="19"/>
      <c r="G495" s="19"/>
      <c r="H495" s="19"/>
      <c r="I495" s="19"/>
      <c r="J495" s="19"/>
    </row>
    <row r="496" spans="1:10" ht="20.100000000000001" customHeight="1">
      <c r="A496" s="7"/>
      <c r="B496" s="19"/>
      <c r="C496" s="19"/>
      <c r="D496" s="19"/>
      <c r="E496" s="19"/>
      <c r="F496" s="19"/>
      <c r="G496" s="19"/>
      <c r="H496" s="19"/>
      <c r="I496" s="19"/>
      <c r="J496" s="19"/>
    </row>
    <row r="497" spans="1:10" ht="20.100000000000001" customHeight="1">
      <c r="A497" s="7"/>
      <c r="B497" s="19"/>
      <c r="C497" s="19"/>
      <c r="D497" s="19"/>
      <c r="E497" s="19"/>
      <c r="F497" s="19"/>
      <c r="G497" s="19"/>
      <c r="H497" s="19"/>
      <c r="I497" s="19"/>
      <c r="J497" s="19"/>
    </row>
    <row r="498" spans="1:10" ht="20.100000000000001" customHeight="1">
      <c r="A498" s="7"/>
      <c r="B498" s="19"/>
      <c r="C498" s="19"/>
      <c r="D498" s="19"/>
      <c r="E498" s="19"/>
      <c r="F498" s="19"/>
      <c r="G498" s="19"/>
      <c r="H498" s="19"/>
      <c r="I498" s="19"/>
      <c r="J498" s="19"/>
    </row>
  </sheetData>
  <mergeCells count="1">
    <mergeCell ref="F3:G3"/>
  </mergeCells>
  <phoneticPr fontId="1"/>
  <conditionalFormatting sqref="A6:O55">
    <cfRule type="expression" dxfId="31" priority="12">
      <formula>$D6="×:影響を受けない"</formula>
    </cfRule>
  </conditionalFormatting>
  <dataValidations count="8">
    <dataValidation type="list" allowBlank="1" showInputMessage="1" showErrorMessage="1" sqref="D6:D55" xr:uid="{48EF8893-0046-487E-A940-3ECBE89D3965}">
      <formula1>"　,〇:影響を受ける,×:影響を受けない"</formula1>
    </dataValidation>
    <dataValidation type="list" allowBlank="1" showInputMessage="1" showErrorMessage="1" sqref="F6:F55" xr:uid="{BA15E61F-D4E3-42F5-BBEA-91897234E144}">
      <formula1>"　,攻撃情報あり"</formula1>
    </dataValidation>
    <dataValidation type="list" allowBlank="1" showInputMessage="1" showErrorMessage="1" sqref="H6:H55" xr:uid="{4EE5E65A-44C7-42B7-97FC-1432C67C24E5}">
      <formula1>"　,実証コードあり"</formula1>
    </dataValidation>
    <dataValidation type="list" allowBlank="1" showInputMessage="1" showErrorMessage="1" sqref="G6:G55" xr:uid="{3A8C1A2B-D695-4E77-8D72-FB54D52C9994}">
      <formula1>"　,ネットワーク越しから攻撃可能"</formula1>
    </dataValidation>
    <dataValidation type="list" allowBlank="1" showInputMessage="1" showErrorMessage="1" sqref="I6:I55" xr:uid="{9385F778-B4B7-430A-A670-D53CCE8176E1}">
      <formula1>"　,ゼロデイ脆弱性"</formula1>
    </dataValidation>
    <dataValidation type="list" allowBlank="1" showInputMessage="1" showErrorMessage="1" sqref="E6:E55" xr:uid="{171BE6C9-3A4D-4EB2-8FE6-28CFA81DC54D}">
      <formula1>"　,9.0以上,7.0以上、9.0未満,4.0以上、7.0未満,0.1以上、4.0未満,0（+未評価）"</formula1>
    </dataValidation>
    <dataValidation type="list" allowBlank="1" showInputMessage="1" showErrorMessage="1" sqref="G6:G55" xr:uid="{DFF8DD08-A823-4797-B091-4321E69F1A01}">
      <formula1>"　,攻撃可能"</formula1>
    </dataValidation>
    <dataValidation type="list" allowBlank="1" showInputMessage="1" showErrorMessage="1" sqref="J6:J55" xr:uid="{306C3F36-5A10-40EC-AEA4-7D8C083068D9}">
      <formula1>"　,重大（Critical）,重要（Important）,中（Moderate）,低い（Low）,なし（None）"</formula1>
    </dataValidation>
  </dataValidations>
  <hyperlinks>
    <hyperlink ref="F3" r:id="rId1" xr:uid="{D0EB6D7B-5A7D-4011-AD3B-04686401455D}"/>
  </hyperlinks>
  <pageMargins left="0.23622047244094491" right="0.23622047244094491" top="0.74803149606299213" bottom="0.74803149606299213" header="0.31496062992125984" footer="0.31496062992125984"/>
  <pageSetup paperSize="9" scale="39" fitToHeight="0" orientation="portrait" r:id="rId2"/>
  <headerFooter>
    <oddHeader>&amp;Lソフトウェア脆弱性管理台帳</oddHeader>
  </headerFooter>
  <drawing r:id="rId3"/>
  <tableParts count="1">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DD79E-7F07-46EC-B8B5-0A513A4CECFD}">
  <sheetPr codeName="Sheet2">
    <tabColor theme="9" tint="0.59999389629810485"/>
    <pageSetUpPr fitToPage="1"/>
  </sheetPr>
  <dimension ref="A1:G53"/>
  <sheetViews>
    <sheetView showGridLines="0" showRuler="0" showWhiteSpace="0" zoomScaleNormal="100" zoomScaleSheetLayoutView="85" workbookViewId="0">
      <selection activeCell="A2" sqref="A2"/>
    </sheetView>
  </sheetViews>
  <sheetFormatPr defaultColWidth="10.625" defaultRowHeight="27.95" customHeight="1"/>
  <cols>
    <col min="1" max="1" width="4.75" style="46" customWidth="1"/>
    <col min="2" max="2" width="27" style="47" customWidth="1"/>
    <col min="3" max="3" width="26.5" style="48" customWidth="1"/>
    <col min="4" max="4" width="27" style="48" customWidth="1"/>
    <col min="5" max="5" width="27" style="47" customWidth="1"/>
    <col min="6" max="7" width="27" style="45" customWidth="1"/>
    <col min="8" max="16384" width="10.625" style="45"/>
  </cols>
  <sheetData>
    <row r="1" spans="1:7" s="40" customFormat="1" ht="19.5">
      <c r="A1" s="1" t="s">
        <v>270</v>
      </c>
      <c r="B1" s="2"/>
      <c r="C1" s="2"/>
      <c r="D1" s="2"/>
      <c r="E1" s="2"/>
      <c r="F1" s="39"/>
      <c r="G1" s="39"/>
    </row>
    <row r="2" spans="1:7" s="43" customFormat="1" ht="22.5" customHeight="1">
      <c r="A2" s="41"/>
      <c r="B2" s="42"/>
      <c r="C2" s="121"/>
      <c r="D2" s="121"/>
    </row>
    <row r="3" spans="1:7" s="44" customFormat="1" ht="37.5" customHeight="1">
      <c r="A3" s="172" t="s">
        <v>0</v>
      </c>
      <c r="B3" s="173" t="s">
        <v>254</v>
      </c>
      <c r="C3" s="173" t="s">
        <v>91</v>
      </c>
      <c r="D3" s="173" t="s">
        <v>186</v>
      </c>
      <c r="E3" s="173" t="s">
        <v>184</v>
      </c>
      <c r="F3" s="173" t="s">
        <v>145</v>
      </c>
      <c r="G3" s="174" t="s">
        <v>75</v>
      </c>
    </row>
    <row r="4" spans="1:7" ht="27.95" customHeight="1">
      <c r="A4" s="171" cm="1">
        <f t="array" ref="A4">IFERROR(INDEX(脆弱性関連情報の確認!$A$4:$B$500,MATCH(LARGE((脆弱性関連情報の確認!$J$4:$J$500="○")*1/ROW(バージョン情報の確認!$A$4:$A$500),ROWS(脆弱性対策の適用判断!$A$4:$A4)),1/ROW(脆弱性関連情報の確認!$A$4:$A$500),0),COLUMNS(脆弱性関連情報の確認!$A$1:A$1)),"")</f>
        <v>1</v>
      </c>
      <c r="B4" s="169" t="str" cm="1">
        <f t="array" ref="B4">IFERROR(INDEX(脆弱性関連情報の確認!$A$4:$B$500,MATCH(LARGE((脆弱性関連情報の確認!$J$4:$J$500="○")*1/ROW(バージョン情報の確認!$A$4:$A$500),ROWS(脆弱性対策の適用判断!$A$4:$A4)),1/ROW(脆弱性関連情報の確認!$A$4:$A$500),0),COLUMNS(脆弱性関連情報の確認!$A$1:B$1)),"")</f>
        <v>Windows 10 Version 2004</v>
      </c>
      <c r="C4" s="170" t="str">
        <f>IFERROR(IF(VLOOKUP($B4,バージョン情報の確認!$B$4:$G$1048576,3,0)=VLOOKUP($B4,バージョン情報の確認!$B$4:$G$1048576,5,0),"",VLOOKUP($B4,バージョン情報の確認!$B$4:$G$1048576,5,0)),"")</f>
        <v>19041.508</v>
      </c>
      <c r="D4" s="221" t="str">
        <f>HYPERLINK(IFERROR(IF(VLOOKUP($B4,テーブル17[[ソフトウェア]:[脆弱性の影響を受けるバージョンか]],3,0)="〇:影響を受ける",HYPERLINK(VLOOKUP($B4,テーブル13[[ソフトウェア]:[収集情報5]],3,0)),""),""))</f>
        <v>https://www.ipa.go.jp/security/ciadr/vul/20200909-ms.html</v>
      </c>
      <c r="E4" s="170" t="str">
        <f>IFERROR(IF($D4="","",VLOOKUP($B4,テーブル17[[ソフトウェア]:[判定]],15,0)),"")</f>
        <v>緊急度：高</v>
      </c>
      <c r="F4" s="170" t="str" cm="1">
        <f t="array" ref="F4">IFERROR(_xlfn.IFS(
$E4=緊急度・対応方針設定!$A$24,緊急度・対応方針設定!$B$24,
$E4=緊急度・対応方針設定!$A$25,緊急度・対応方針設定!$B$25,
$E4=緊急度・対応方針設定!$A$26,緊急度・対応方針設定!$B$26,
$E4=緊急度・対応方針設定!$A$27,緊急度・対応方針設定!$B$27,
$E4=緊急度・対応方針設定!$A$28,緊急度・対応方針設定!$B$28,
$C4&lt;&gt;"","随時更新（脆弱性なし）"),"")</f>
        <v>1日以内に実施</v>
      </c>
      <c r="G4" s="170"/>
    </row>
    <row r="5" spans="1:7" ht="27.95" customHeight="1">
      <c r="A5" s="171" cm="1">
        <f t="array" ref="A5">IFERROR(INDEX(脆弱性関連情報の確認!$A$4:$B$500,MATCH(LARGE((脆弱性関連情報の確認!$J$4:$J$500="○")*1/ROW(バージョン情報の確認!$A$4:$A$500),ROWS(脆弱性対策の適用判断!$A$4:$A5)),1/ROW(脆弱性関連情報の確認!$A$4:$A$500),0),COLUMNS(脆弱性関連情報の確認!$A$1:A$1)),"")</f>
        <v>8</v>
      </c>
      <c r="B5" s="170" t="str" cm="1">
        <f t="array" ref="B5">IFERROR(INDEX(脆弱性関連情報の確認!$A$4:$B$500,MATCH(LARGE((脆弱性関連情報の確認!$J$4:$J$500="○")*1/ROW(バージョン情報の確認!$A$4:$A$500),ROWS(脆弱性対策の適用判断!$A$4:$A5)),1/ROW(脆弱性関連情報の確認!$A$4:$A$500),0),COLUMNS(脆弱性関連情報の確認!$A$1:B$1)),"")</f>
        <v>Microsoft Edge</v>
      </c>
      <c r="C5" s="170" t="str">
        <f>IFERROR(IF(VLOOKUP($B5,バージョン情報の確認!$B$4:$G$1048576,3,0)=VLOOKUP($B5,バージョン情報の確認!$B$4:$G$1048576,5,0),"",VLOOKUP($B5,バージョン情報の確認!$B$4:$G$1048576,5,0)),"")</f>
        <v>85.0.564.51</v>
      </c>
      <c r="D5" s="221" t="str">
        <f>HYPERLINK(IFERROR(IF(VLOOKUP($B5,テーブル17[[ソフトウェア]:[脆弱性の影響を受けるバージョンか]],3,0)="〇:影響を受ける",HYPERLINK(VLOOKUP($B5,テーブル13[[ソフトウェア]:[収集情報5]],3,0)),""),""))</f>
        <v>https://docs.microsoft.com/en-us/DeployEdge/microsoft-edge-relnotes-security#september-9-2020</v>
      </c>
      <c r="E5" s="170" t="str">
        <f>IFERROR(IF($D5="","",VLOOKUP($B5,テーブル17[[ソフトウェア]:[判定]],15,0)),"")</f>
        <v>緊急度：中～高</v>
      </c>
      <c r="F5" s="170" t="str" cm="1">
        <f t="array" ref="F5">IFERROR(_xlfn.IFS(
$E5=緊急度・対応方針設定!$A$24,緊急度・対応方針設定!$B$24,
$E5=緊急度・対応方針設定!$A$25,緊急度・対応方針設定!$B$25,
$E5=緊急度・対応方針設定!$A$26,緊急度・対応方針設定!$B$26,
$E5=緊急度・対応方針設定!$A$27,緊急度・対応方針設定!$B$27,
$E5=緊急度・対応方針設定!$A$28,緊急度・対応方針設定!$B$28,
$C5&lt;&gt;"","随時更新（脆弱性なし）"),"")</f>
        <v>2～3日以内に実施</v>
      </c>
      <c r="G5" s="170"/>
    </row>
    <row r="6" spans="1:7" ht="27.95" customHeight="1">
      <c r="A6" s="171" t="str" cm="1">
        <f t="array" ref="A6">IFERROR(INDEX(脆弱性関連情報の確認!$A$4:$B$500,MATCH(LARGE((脆弱性関連情報の確認!$J$4:$J$500="○")*1/ROW(バージョン情報の確認!$A$4:$A$500),ROWS(脆弱性対策の適用判断!$A$4:$A6)),1/ROW(脆弱性関連情報の確認!$A$4:$A$500),0),COLUMNS(脆弱性関連情報の確認!$A$1:A$1)),"")</f>
        <v/>
      </c>
      <c r="B6" s="170" t="str" cm="1">
        <f t="array" ref="B6">IFERROR(INDEX(脆弱性関連情報の確認!$A$4:$B$500,MATCH(LARGE((脆弱性関連情報の確認!$J$4:$J$500="○")*1/ROW(バージョン情報の確認!$A$4:$A$500),ROWS(脆弱性対策の適用判断!$A$4:$A6)),1/ROW(脆弱性関連情報の確認!$A$4:$A$500),0),COLUMNS(脆弱性関連情報の確認!$A$1:B$1)),"")</f>
        <v/>
      </c>
      <c r="C6" s="170" t="str">
        <f>IFERROR(IF(VLOOKUP($B6,バージョン情報の確認!$B$4:$G$1048576,3,0)=VLOOKUP($B6,バージョン情報の確認!$B$4:$G$1048576,5,0),"",VLOOKUP($B6,バージョン情報の確認!$B$4:$G$1048576,5,0)),"")</f>
        <v/>
      </c>
      <c r="D6" s="221" t="str">
        <f>HYPERLINK(IFERROR(IF(VLOOKUP($B6,テーブル17[[ソフトウェア]:[脆弱性の影響を受けるバージョンか]],3,0)="〇:影響を受ける",HYPERLINK(VLOOKUP($B6,テーブル13[[ソフトウェア]:[収集情報5]],3,0)),""),""))</f>
        <v/>
      </c>
      <c r="E6" s="170" t="str">
        <f>IFERROR(IF($D6="","",VLOOKUP($B6,テーブル17[[ソフトウェア]:[判定]],15,0)),"")</f>
        <v/>
      </c>
      <c r="F6" s="170" t="str" cm="1">
        <f t="array" ref="F6">IFERROR(_xlfn.IFS(
$E6=緊急度・対応方針設定!$A$24,緊急度・対応方針設定!$B$24,
$E6=緊急度・対応方針設定!$A$25,緊急度・対応方針設定!$B$25,
$E6=緊急度・対応方針設定!$A$26,緊急度・対応方針設定!$B$26,
$E6=緊急度・対応方針設定!$A$27,緊急度・対応方針設定!$B$27,
$E6=緊急度・対応方針設定!$A$28,緊急度・対応方針設定!$B$28,
$C6&lt;&gt;"","随時更新（脆弱性なし）"),"")</f>
        <v/>
      </c>
      <c r="G6" s="170"/>
    </row>
    <row r="7" spans="1:7" ht="27.95" customHeight="1">
      <c r="A7" s="171" t="str" cm="1">
        <f t="array" ref="A7">IFERROR(INDEX(脆弱性関連情報の確認!$A$4:$B$500,MATCH(LARGE((脆弱性関連情報の確認!$J$4:$J$500="○")*1/ROW(バージョン情報の確認!$A$4:$A$500),ROWS(脆弱性対策の適用判断!$A$4:$A7)),1/ROW(脆弱性関連情報の確認!$A$4:$A$500),0),COLUMNS(脆弱性関連情報の確認!$A$1:A$1)),"")</f>
        <v/>
      </c>
      <c r="B7" s="170" t="str" cm="1">
        <f t="array" ref="B7">IFERROR(INDEX(脆弱性関連情報の確認!$A$4:$B$500,MATCH(LARGE((脆弱性関連情報の確認!$J$4:$J$500="○")*1/ROW(バージョン情報の確認!$A$4:$A$500),ROWS(脆弱性対策の適用判断!$A$4:$A7)),1/ROW(脆弱性関連情報の確認!$A$4:$A$500),0),COLUMNS(脆弱性関連情報の確認!$A$1:B$1)),"")</f>
        <v/>
      </c>
      <c r="C7" s="170" t="str">
        <f>IFERROR(IF(VLOOKUP($B7,バージョン情報の確認!$B$4:$G$1048576,3,0)=VLOOKUP($B7,バージョン情報の確認!$B$4:$G$1048576,5,0),"",VLOOKUP($B7,バージョン情報の確認!$B$4:$G$1048576,5,0)),"")</f>
        <v/>
      </c>
      <c r="D7" s="221" t="str">
        <f>HYPERLINK(IFERROR(IF(VLOOKUP($B7,テーブル17[[ソフトウェア]:[脆弱性の影響を受けるバージョンか]],3,0)="〇:影響を受ける",HYPERLINK(VLOOKUP($B7,テーブル13[[ソフトウェア]:[収集情報5]],3,0)),""),""))</f>
        <v/>
      </c>
      <c r="E7" s="170" t="str">
        <f>IFERROR(IF($D7="","",VLOOKUP($B7,テーブル17[[ソフトウェア]:[判定]],15,0)),"")</f>
        <v/>
      </c>
      <c r="F7" s="170" t="str" cm="1">
        <f t="array" ref="F7">IFERROR(_xlfn.IFS(
$E7=緊急度・対応方針設定!$A$24,緊急度・対応方針設定!$B$24,
$E7=緊急度・対応方針設定!$A$25,緊急度・対応方針設定!$B$25,
$E7=緊急度・対応方針設定!$A$26,緊急度・対応方針設定!$B$26,
$E7=緊急度・対応方針設定!$A$27,緊急度・対応方針設定!$B$27,
$E7=緊急度・対応方針設定!$A$28,緊急度・対応方針設定!$B$28,
$C7&lt;&gt;"","随時更新（脆弱性なし）"),"")</f>
        <v/>
      </c>
      <c r="G7" s="170"/>
    </row>
    <row r="8" spans="1:7" ht="27.95" customHeight="1">
      <c r="A8" s="171" t="str" cm="1">
        <f t="array" ref="A8">IFERROR(INDEX(脆弱性関連情報の確認!$A$4:$B$500,MATCH(LARGE((脆弱性関連情報の確認!$J$4:$J$500="○")*1/ROW(バージョン情報の確認!$A$4:$A$500),ROWS(脆弱性対策の適用判断!$A$4:$A8)),1/ROW(脆弱性関連情報の確認!$A$4:$A$500),0),COLUMNS(脆弱性関連情報の確認!$A$1:A$1)),"")</f>
        <v/>
      </c>
      <c r="B8" s="170" t="str" cm="1">
        <f t="array" ref="B8">IFERROR(INDEX(脆弱性関連情報の確認!$A$4:$B$500,MATCH(LARGE((脆弱性関連情報の確認!$J$4:$J$500="○")*1/ROW(バージョン情報の確認!$A$4:$A$500),ROWS(脆弱性対策の適用判断!$A$4:$A8)),1/ROW(脆弱性関連情報の確認!$A$4:$A$500),0),COLUMNS(脆弱性関連情報の確認!$A$1:B$1)),"")</f>
        <v/>
      </c>
      <c r="C8" s="170" t="str">
        <f>IFERROR(IF(VLOOKUP($B8,バージョン情報の確認!$B$4:$G$1048576,3,0)=VLOOKUP($B8,バージョン情報の確認!$B$4:$G$1048576,5,0),"",VLOOKUP($B8,バージョン情報の確認!$B$4:$G$1048576,5,0)),"")</f>
        <v/>
      </c>
      <c r="D8" s="221" t="str">
        <f>HYPERLINK(IFERROR(IF(VLOOKUP($B8,テーブル17[[ソフトウェア]:[脆弱性の影響を受けるバージョンか]],3,0)="〇:影響を受ける",HYPERLINK(VLOOKUP($B8,テーブル13[[ソフトウェア]:[収集情報5]],3,0)),""),""))</f>
        <v/>
      </c>
      <c r="E8" s="170" t="str">
        <f>IFERROR(IF($D8="","",VLOOKUP($B8,テーブル17[[ソフトウェア]:[判定]],15,0)),"")</f>
        <v/>
      </c>
      <c r="F8" s="170" t="str" cm="1">
        <f t="array" ref="F8">IFERROR(_xlfn.IFS(
$E8=緊急度・対応方針設定!$A$24,緊急度・対応方針設定!$B$24,
$E8=緊急度・対応方針設定!$A$25,緊急度・対応方針設定!$B$25,
$E8=緊急度・対応方針設定!$A$26,緊急度・対応方針設定!$B$26,
$E8=緊急度・対応方針設定!$A$27,緊急度・対応方針設定!$B$27,
$E8=緊急度・対応方針設定!$A$28,緊急度・対応方針設定!$B$28,
$C8&lt;&gt;"","随時更新（脆弱性なし）"),"")</f>
        <v/>
      </c>
      <c r="G8" s="170"/>
    </row>
    <row r="9" spans="1:7" ht="27.95" customHeight="1">
      <c r="A9" s="171" t="str" cm="1">
        <f t="array" ref="A9">IFERROR(INDEX(脆弱性関連情報の確認!$A$4:$B$500,MATCH(LARGE((脆弱性関連情報の確認!$J$4:$J$500="○")*1/ROW(バージョン情報の確認!$A$4:$A$500),ROWS(脆弱性対策の適用判断!$A$4:$A9)),1/ROW(脆弱性関連情報の確認!$A$4:$A$500),0),COLUMNS(脆弱性関連情報の確認!$A$1:A$1)),"")</f>
        <v/>
      </c>
      <c r="B9" s="170" t="str" cm="1">
        <f t="array" ref="B9">IFERROR(INDEX(脆弱性関連情報の確認!$A$4:$B$500,MATCH(LARGE((脆弱性関連情報の確認!$J$4:$J$500="○")*1/ROW(バージョン情報の確認!$A$4:$A$500),ROWS(脆弱性対策の適用判断!$A$4:$A9)),1/ROW(脆弱性関連情報の確認!$A$4:$A$500),0),COLUMNS(脆弱性関連情報の確認!$A$1:B$1)),"")</f>
        <v/>
      </c>
      <c r="C9" s="170" t="str">
        <f>IFERROR(IF(VLOOKUP($B9,バージョン情報の確認!$B$4:$G$1048576,3,0)=VLOOKUP($B9,バージョン情報の確認!$B$4:$G$1048576,5,0),"",VLOOKUP($B9,バージョン情報の確認!$B$4:$G$1048576,5,0)),"")</f>
        <v/>
      </c>
      <c r="D9" s="221" t="str">
        <f>HYPERLINK(IFERROR(IF(VLOOKUP($B9,テーブル17[[ソフトウェア]:[脆弱性の影響を受けるバージョンか]],3,0)="〇:影響を受ける",HYPERLINK(VLOOKUP($B9,テーブル13[[ソフトウェア]:[収集情報5]],3,0)),""),""))</f>
        <v/>
      </c>
      <c r="E9" s="170" t="str">
        <f>IFERROR(IF($D9="","",VLOOKUP($B9,テーブル17[[ソフトウェア]:[判定]],15,0)),"")</f>
        <v/>
      </c>
      <c r="F9" s="170" t="str" cm="1">
        <f t="array" ref="F9">IFERROR(_xlfn.IFS(
$E9=緊急度・対応方針設定!$A$24,緊急度・対応方針設定!$B$24,
$E9=緊急度・対応方針設定!$A$25,緊急度・対応方針設定!$B$25,
$E9=緊急度・対応方針設定!$A$26,緊急度・対応方針設定!$B$26,
$E9=緊急度・対応方針設定!$A$27,緊急度・対応方針設定!$B$27,
$E9=緊急度・対応方針設定!$A$28,緊急度・対応方針設定!$B$28,
$C9&lt;&gt;"","随時更新（脆弱性なし）"),"")</f>
        <v/>
      </c>
      <c r="G9" s="170"/>
    </row>
    <row r="10" spans="1:7" ht="27.95" customHeight="1">
      <c r="A10" s="171" t="str" cm="1">
        <f t="array" ref="A10">IFERROR(INDEX(脆弱性関連情報の確認!$A$4:$B$500,MATCH(LARGE((脆弱性関連情報の確認!$J$4:$J$500="○")*1/ROW(バージョン情報の確認!$A$4:$A$500),ROWS(脆弱性対策の適用判断!$A$4:$A10)),1/ROW(脆弱性関連情報の確認!$A$4:$A$500),0),COLUMNS(脆弱性関連情報の確認!$A$1:A$1)),"")</f>
        <v/>
      </c>
      <c r="B10" s="170" t="str" cm="1">
        <f t="array" ref="B10">IFERROR(INDEX(脆弱性関連情報の確認!$A$4:$B$500,MATCH(LARGE((脆弱性関連情報の確認!$J$4:$J$500="○")*1/ROW(バージョン情報の確認!$A$4:$A$500),ROWS(脆弱性対策の適用判断!$A$4:$A10)),1/ROW(脆弱性関連情報の確認!$A$4:$A$500),0),COLUMNS(脆弱性関連情報の確認!$A$1:B$1)),"")</f>
        <v/>
      </c>
      <c r="C10" s="170" t="str">
        <f>IFERROR(IF(VLOOKUP($B10,バージョン情報の確認!$B$4:$G$1048576,3,0)=VLOOKUP($B10,バージョン情報の確認!$B$4:$G$1048576,5,0),"",VLOOKUP($B10,バージョン情報の確認!$B$4:$G$1048576,5,0)),"")</f>
        <v/>
      </c>
      <c r="D10" s="221" t="str">
        <f>HYPERLINK(IFERROR(IF(VLOOKUP($B10,テーブル17[[ソフトウェア]:[脆弱性の影響を受けるバージョンか]],3,0)="〇:影響を受ける",HYPERLINK(VLOOKUP($B10,テーブル13[[ソフトウェア]:[収集情報5]],3,0)),""),""))</f>
        <v/>
      </c>
      <c r="E10" s="170" t="str">
        <f>IFERROR(IF($D10="","",VLOOKUP($B10,テーブル17[[ソフトウェア]:[判定]],15,0)),"")</f>
        <v/>
      </c>
      <c r="F10" s="170" t="str" cm="1">
        <f t="array" ref="F10">IFERROR(_xlfn.IFS(
$E10=緊急度・対応方針設定!$A$24,緊急度・対応方針設定!$B$24,
$E10=緊急度・対応方針設定!$A$25,緊急度・対応方針設定!$B$25,
$E10=緊急度・対応方針設定!$A$26,緊急度・対応方針設定!$B$26,
$E10=緊急度・対応方針設定!$A$27,緊急度・対応方針設定!$B$27,
$E10=緊急度・対応方針設定!$A$28,緊急度・対応方針設定!$B$28,
$C10&lt;&gt;"","随時更新（脆弱性なし）"),"")</f>
        <v/>
      </c>
      <c r="G10" s="170"/>
    </row>
    <row r="11" spans="1:7" ht="27.95" customHeight="1">
      <c r="A11" s="171" t="str" cm="1">
        <f t="array" ref="A11">IFERROR(INDEX(脆弱性関連情報の確認!$A$4:$B$500,MATCH(LARGE((脆弱性関連情報の確認!$J$4:$J$500="○")*1/ROW(バージョン情報の確認!$A$4:$A$500),ROWS(脆弱性対策の適用判断!$A$4:$A11)),1/ROW(脆弱性関連情報の確認!$A$4:$A$500),0),COLUMNS(脆弱性関連情報の確認!$A$1:A$1)),"")</f>
        <v/>
      </c>
      <c r="B11" s="170" t="str" cm="1">
        <f t="array" ref="B11">IFERROR(INDEX(脆弱性関連情報の確認!$A$4:$B$500,MATCH(LARGE((脆弱性関連情報の確認!$J$4:$J$500="○")*1/ROW(バージョン情報の確認!$A$4:$A$500),ROWS(脆弱性対策の適用判断!$A$4:$A11)),1/ROW(脆弱性関連情報の確認!$A$4:$A$500),0),COLUMNS(脆弱性関連情報の確認!$A$1:B$1)),"")</f>
        <v/>
      </c>
      <c r="C11" s="170" t="str">
        <f>IFERROR(IF(VLOOKUP($B11,バージョン情報の確認!$B$4:$G$1048576,3,0)=VLOOKUP($B11,バージョン情報の確認!$B$4:$G$1048576,5,0),"",VLOOKUP($B11,バージョン情報の確認!$B$4:$G$1048576,5,0)),"")</f>
        <v/>
      </c>
      <c r="D11" s="221" t="str">
        <f>HYPERLINK(IFERROR(IF(VLOOKUP($B11,テーブル17[[ソフトウェア]:[脆弱性の影響を受けるバージョンか]],3,0)="〇:影響を受ける",HYPERLINK(VLOOKUP($B11,テーブル13[[ソフトウェア]:[収集情報5]],3,0)),""),""))</f>
        <v/>
      </c>
      <c r="E11" s="170" t="str">
        <f>IFERROR(IF($D11="","",VLOOKUP($B11,テーブル17[[ソフトウェア]:[判定]],15,0)),"")</f>
        <v/>
      </c>
      <c r="F11" s="170" t="str" cm="1">
        <f t="array" ref="F11">IFERROR(_xlfn.IFS(
$E11=緊急度・対応方針設定!$A$24,緊急度・対応方針設定!$B$24,
$E11=緊急度・対応方針設定!$A$25,緊急度・対応方針設定!$B$25,
$E11=緊急度・対応方針設定!$A$26,緊急度・対応方針設定!$B$26,
$E11=緊急度・対応方針設定!$A$27,緊急度・対応方針設定!$B$27,
$E11=緊急度・対応方針設定!$A$28,緊急度・対応方針設定!$B$28,
$C11&lt;&gt;"","随時更新（脆弱性なし）"),"")</f>
        <v/>
      </c>
      <c r="G11" s="170"/>
    </row>
    <row r="12" spans="1:7" ht="27.95" customHeight="1">
      <c r="A12" s="171" t="str" cm="1">
        <f t="array" ref="A12">IFERROR(INDEX(脆弱性関連情報の確認!$A$4:$B$500,MATCH(LARGE((脆弱性関連情報の確認!$J$4:$J$500="○")*1/ROW(バージョン情報の確認!$A$4:$A$500),ROWS(脆弱性対策の適用判断!$A$4:$A12)),1/ROW(脆弱性関連情報の確認!$A$4:$A$500),0),COLUMNS(脆弱性関連情報の確認!$A$1:A$1)),"")</f>
        <v/>
      </c>
      <c r="B12" s="170" t="str" cm="1">
        <f t="array" ref="B12">IFERROR(INDEX(脆弱性関連情報の確認!$A$4:$B$500,MATCH(LARGE((脆弱性関連情報の確認!$J$4:$J$500="○")*1/ROW(バージョン情報の確認!$A$4:$A$500),ROWS(脆弱性対策の適用判断!$A$4:$A12)),1/ROW(脆弱性関連情報の確認!$A$4:$A$500),0),COLUMNS(脆弱性関連情報の確認!$A$1:B$1)),"")</f>
        <v/>
      </c>
      <c r="C12" s="170" t="str">
        <f>IFERROR(IF(VLOOKUP($B12,バージョン情報の確認!$B$4:$G$1048576,3,0)=VLOOKUP($B12,バージョン情報の確認!$B$4:$G$1048576,5,0),"",VLOOKUP($B12,バージョン情報の確認!$B$4:$G$1048576,5,0)),"")</f>
        <v/>
      </c>
      <c r="D12" s="221" t="str">
        <f>HYPERLINK(IFERROR(IF(VLOOKUP($B12,テーブル17[[ソフトウェア]:[脆弱性の影響を受けるバージョンか]],3,0)="〇:影響を受ける",HYPERLINK(VLOOKUP($B12,テーブル13[[ソフトウェア]:[収集情報5]],3,0)),""),""))</f>
        <v/>
      </c>
      <c r="E12" s="170" t="str">
        <f>IFERROR(IF($D12="","",VLOOKUP($B12,テーブル17[[ソフトウェア]:[判定]],15,0)),"")</f>
        <v/>
      </c>
      <c r="F12" s="170" t="str" cm="1">
        <f t="array" ref="F12">IFERROR(_xlfn.IFS(
$E12=緊急度・対応方針設定!$A$24,緊急度・対応方針設定!$B$24,
$E12=緊急度・対応方針設定!$A$25,緊急度・対応方針設定!$B$25,
$E12=緊急度・対応方針設定!$A$26,緊急度・対応方針設定!$B$26,
$E12=緊急度・対応方針設定!$A$27,緊急度・対応方針設定!$B$27,
$E12=緊急度・対応方針設定!$A$28,緊急度・対応方針設定!$B$28,
$C12&lt;&gt;"","随時更新（脆弱性なし）"),"")</f>
        <v/>
      </c>
      <c r="G12" s="170"/>
    </row>
    <row r="13" spans="1:7" ht="27.95" customHeight="1">
      <c r="A13" s="171" t="str" cm="1">
        <f t="array" ref="A13">IFERROR(INDEX(脆弱性関連情報の確認!$A$4:$B$500,MATCH(LARGE((脆弱性関連情報の確認!$J$4:$J$500="○")*1/ROW(バージョン情報の確認!$A$4:$A$500),ROWS(脆弱性対策の適用判断!$A$4:$A13)),1/ROW(脆弱性関連情報の確認!$A$4:$A$500),0),COLUMNS(脆弱性関連情報の確認!$A$1:A$1)),"")</f>
        <v/>
      </c>
      <c r="B13" s="170" t="str" cm="1">
        <f t="array" ref="B13">IFERROR(INDEX(脆弱性関連情報の確認!$A$4:$B$500,MATCH(LARGE((脆弱性関連情報の確認!$J$4:$J$500="○")*1/ROW(バージョン情報の確認!$A$4:$A$500),ROWS(脆弱性対策の適用判断!$A$4:$A13)),1/ROW(脆弱性関連情報の確認!$A$4:$A$500),0),COLUMNS(脆弱性関連情報の確認!$A$1:B$1)),"")</f>
        <v/>
      </c>
      <c r="C13" s="170" t="str">
        <f>IFERROR(IF(VLOOKUP($B13,バージョン情報の確認!$B$4:$G$1048576,3,0)=VLOOKUP($B13,バージョン情報の確認!$B$4:$G$1048576,5,0),"",VLOOKUP($B13,バージョン情報の確認!$B$4:$G$1048576,5,0)),"")</f>
        <v/>
      </c>
      <c r="D13" s="221" t="str">
        <f>HYPERLINK(IFERROR(IF(VLOOKUP($B13,テーブル17[[ソフトウェア]:[脆弱性の影響を受けるバージョンか]],3,0)="〇:影響を受ける",HYPERLINK(VLOOKUP($B13,テーブル13[[ソフトウェア]:[収集情報5]],3,0)),""),""))</f>
        <v/>
      </c>
      <c r="E13" s="170" t="str">
        <f>IFERROR(IF($D13="","",VLOOKUP($B13,テーブル17[[ソフトウェア]:[判定]],15,0)),"")</f>
        <v/>
      </c>
      <c r="F13" s="170" t="str" cm="1">
        <f t="array" ref="F13">IFERROR(_xlfn.IFS(
$E13=緊急度・対応方針設定!$A$24,緊急度・対応方針設定!$B$24,
$E13=緊急度・対応方針設定!$A$25,緊急度・対応方針設定!$B$25,
$E13=緊急度・対応方針設定!$A$26,緊急度・対応方針設定!$B$26,
$E13=緊急度・対応方針設定!$A$27,緊急度・対応方針設定!$B$27,
$E13=緊急度・対応方針設定!$A$28,緊急度・対応方針設定!$B$28,
$C13&lt;&gt;"","随時更新（脆弱性なし）"),"")</f>
        <v/>
      </c>
      <c r="G13" s="170"/>
    </row>
    <row r="14" spans="1:7" ht="27.95" customHeight="1">
      <c r="A14" s="171" t="str" cm="1">
        <f t="array" ref="A14">IFERROR(INDEX(脆弱性関連情報の確認!$A$4:$B$500,MATCH(LARGE((脆弱性関連情報の確認!$J$4:$J$500="○")*1/ROW(バージョン情報の確認!$A$4:$A$500),ROWS(脆弱性対策の適用判断!$A$4:$A14)),1/ROW(脆弱性関連情報の確認!$A$4:$A$500),0),COLUMNS(脆弱性関連情報の確認!$A$1:A$1)),"")</f>
        <v/>
      </c>
      <c r="B14" s="170" t="str" cm="1">
        <f t="array" ref="B14">IFERROR(INDEX(脆弱性関連情報の確認!$A$4:$B$500,MATCH(LARGE((脆弱性関連情報の確認!$J$4:$J$500="○")*1/ROW(バージョン情報の確認!$A$4:$A$500),ROWS(脆弱性対策の適用判断!$A$4:$A14)),1/ROW(脆弱性関連情報の確認!$A$4:$A$500),0),COLUMNS(脆弱性関連情報の確認!$A$1:B$1)),"")</f>
        <v/>
      </c>
      <c r="C14" s="170" t="str">
        <f>IFERROR(IF(VLOOKUP($B14,バージョン情報の確認!$B$4:$G$1048576,3,0)=VLOOKUP($B14,バージョン情報の確認!$B$4:$G$1048576,5,0),"",VLOOKUP($B14,バージョン情報の確認!$B$4:$G$1048576,5,0)),"")</f>
        <v/>
      </c>
      <c r="D14" s="221" t="str">
        <f>HYPERLINK(IFERROR(IF(VLOOKUP($B14,テーブル17[[ソフトウェア]:[脆弱性の影響を受けるバージョンか]],3,0)="〇:影響を受ける",HYPERLINK(VLOOKUP($B14,テーブル13[[ソフトウェア]:[収集情報5]],3,0)),""),""))</f>
        <v/>
      </c>
      <c r="E14" s="170" t="str">
        <f>IFERROR(IF($D14="","",VLOOKUP($B14,テーブル17[[ソフトウェア]:[判定]],15,0)),"")</f>
        <v/>
      </c>
      <c r="F14" s="170" t="str" cm="1">
        <f t="array" ref="F14">IFERROR(_xlfn.IFS(
$E14=緊急度・対応方針設定!$A$24,緊急度・対応方針設定!$B$24,
$E14=緊急度・対応方針設定!$A$25,緊急度・対応方針設定!$B$25,
$E14=緊急度・対応方針設定!$A$26,緊急度・対応方針設定!$B$26,
$E14=緊急度・対応方針設定!$A$27,緊急度・対応方針設定!$B$27,
$E14=緊急度・対応方針設定!$A$28,緊急度・対応方針設定!$B$28,
$C14&lt;&gt;"","随時更新（脆弱性なし）"),"")</f>
        <v/>
      </c>
      <c r="G14" s="170"/>
    </row>
    <row r="15" spans="1:7" ht="27.95" customHeight="1">
      <c r="A15" s="171" t="str" cm="1">
        <f t="array" ref="A15">IFERROR(INDEX(脆弱性関連情報の確認!$A$4:$B$500,MATCH(LARGE((脆弱性関連情報の確認!$J$4:$J$500="○")*1/ROW(バージョン情報の確認!$A$4:$A$500),ROWS(脆弱性対策の適用判断!$A$4:$A15)),1/ROW(脆弱性関連情報の確認!$A$4:$A$500),0),COLUMNS(脆弱性関連情報の確認!$A$1:A$1)),"")</f>
        <v/>
      </c>
      <c r="B15" s="170" t="str" cm="1">
        <f t="array" ref="B15">IFERROR(INDEX(脆弱性関連情報の確認!$A$4:$B$500,MATCH(LARGE((脆弱性関連情報の確認!$J$4:$J$500="○")*1/ROW(バージョン情報の確認!$A$4:$A$500),ROWS(脆弱性対策の適用判断!$A$4:$A15)),1/ROW(脆弱性関連情報の確認!$A$4:$A$500),0),COLUMNS(脆弱性関連情報の確認!$A$1:B$1)),"")</f>
        <v/>
      </c>
      <c r="C15" s="170" t="str">
        <f>IFERROR(IF(VLOOKUP($B15,バージョン情報の確認!$B$4:$G$1048576,3,0)=VLOOKUP($B15,バージョン情報の確認!$B$4:$G$1048576,5,0),"",VLOOKUP($B15,バージョン情報の確認!$B$4:$G$1048576,5,0)),"")</f>
        <v/>
      </c>
      <c r="D15" s="221" t="str">
        <f>HYPERLINK(IFERROR(IF(VLOOKUP($B15,テーブル17[[ソフトウェア]:[脆弱性の影響を受けるバージョンか]],3,0)="〇:影響を受ける",HYPERLINK(VLOOKUP($B15,テーブル13[[ソフトウェア]:[収集情報5]],3,0)),""),""))</f>
        <v/>
      </c>
      <c r="E15" s="170" t="str">
        <f>IFERROR(IF($D15="","",VLOOKUP($B15,テーブル17[[ソフトウェア]:[判定]],15,0)),"")</f>
        <v/>
      </c>
      <c r="F15" s="170" t="str" cm="1">
        <f t="array" ref="F15">IFERROR(_xlfn.IFS(
$E15=緊急度・対応方針設定!$A$24,緊急度・対応方針設定!$B$24,
$E15=緊急度・対応方針設定!$A$25,緊急度・対応方針設定!$B$25,
$E15=緊急度・対応方針設定!$A$26,緊急度・対応方針設定!$B$26,
$E15=緊急度・対応方針設定!$A$27,緊急度・対応方針設定!$B$27,
$E15=緊急度・対応方針設定!$A$28,緊急度・対応方針設定!$B$28,
$C15&lt;&gt;"","随時更新（脆弱性なし）"),"")</f>
        <v/>
      </c>
      <c r="G15" s="170"/>
    </row>
    <row r="16" spans="1:7" ht="27.95" customHeight="1">
      <c r="A16" s="171" t="str" cm="1">
        <f t="array" ref="A16">IFERROR(INDEX(脆弱性関連情報の確認!$A$4:$B$500,MATCH(LARGE((脆弱性関連情報の確認!$J$4:$J$500="○")*1/ROW(バージョン情報の確認!$A$4:$A$500),ROWS(脆弱性対策の適用判断!$A$4:$A16)),1/ROW(脆弱性関連情報の確認!$A$4:$A$500),0),COLUMNS(脆弱性関連情報の確認!$A$1:A$1)),"")</f>
        <v/>
      </c>
      <c r="B16" s="170" t="str" cm="1">
        <f t="array" ref="B16">IFERROR(INDEX(脆弱性関連情報の確認!$A$4:$B$500,MATCH(LARGE((脆弱性関連情報の確認!$J$4:$J$500="○")*1/ROW(バージョン情報の確認!$A$4:$A$500),ROWS(脆弱性対策の適用判断!$A$4:$A16)),1/ROW(脆弱性関連情報の確認!$A$4:$A$500),0),COLUMNS(脆弱性関連情報の確認!$A$1:B$1)),"")</f>
        <v/>
      </c>
      <c r="C16" s="170" t="str">
        <f>IFERROR(IF(VLOOKUP($B16,バージョン情報の確認!$B$4:$G$1048576,3,0)=VLOOKUP($B16,バージョン情報の確認!$B$4:$G$1048576,5,0),"",VLOOKUP($B16,バージョン情報の確認!$B$4:$G$1048576,5,0)),"")</f>
        <v/>
      </c>
      <c r="D16" s="221" t="str">
        <f>HYPERLINK(IFERROR(IF(VLOOKUP($B16,テーブル17[[ソフトウェア]:[脆弱性の影響を受けるバージョンか]],3,0)="〇:影響を受ける",HYPERLINK(VLOOKUP($B16,テーブル13[[ソフトウェア]:[収集情報5]],3,0)),""),""))</f>
        <v/>
      </c>
      <c r="E16" s="170" t="str">
        <f>IFERROR(IF($D16="","",VLOOKUP($B16,テーブル17[[ソフトウェア]:[判定]],15,0)),"")</f>
        <v/>
      </c>
      <c r="F16" s="170" t="str" cm="1">
        <f t="array" ref="F16">IFERROR(_xlfn.IFS(
$E16=緊急度・対応方針設定!$A$24,緊急度・対応方針設定!$B$24,
$E16=緊急度・対応方針設定!$A$25,緊急度・対応方針設定!$B$25,
$E16=緊急度・対応方針設定!$A$26,緊急度・対応方針設定!$B$26,
$E16=緊急度・対応方針設定!$A$27,緊急度・対応方針設定!$B$27,
$E16=緊急度・対応方針設定!$A$28,緊急度・対応方針設定!$B$28,
$C16&lt;&gt;"","随時更新（脆弱性なし）"),"")</f>
        <v/>
      </c>
      <c r="G16" s="170"/>
    </row>
    <row r="17" spans="1:7" ht="27.95" customHeight="1">
      <c r="A17" s="171" t="str" cm="1">
        <f t="array" ref="A17">IFERROR(INDEX(脆弱性関連情報の確認!$A$4:$B$500,MATCH(LARGE((脆弱性関連情報の確認!$J$4:$J$500="○")*1/ROW(バージョン情報の確認!$A$4:$A$500),ROWS(脆弱性対策の適用判断!$A$4:$A17)),1/ROW(脆弱性関連情報の確認!$A$4:$A$500),0),COLUMNS(脆弱性関連情報の確認!$A$1:A$1)),"")</f>
        <v/>
      </c>
      <c r="B17" s="170" t="str" cm="1">
        <f t="array" ref="B17">IFERROR(INDEX(脆弱性関連情報の確認!$A$4:$B$500,MATCH(LARGE((脆弱性関連情報の確認!$J$4:$J$500="○")*1/ROW(バージョン情報の確認!$A$4:$A$500),ROWS(脆弱性対策の適用判断!$A$4:$A17)),1/ROW(脆弱性関連情報の確認!$A$4:$A$500),0),COLUMNS(脆弱性関連情報の確認!$A$1:B$1)),"")</f>
        <v/>
      </c>
      <c r="C17" s="170" t="str">
        <f>IFERROR(IF(VLOOKUP($B17,バージョン情報の確認!$B$4:$G$1048576,3,0)=VLOOKUP($B17,バージョン情報の確認!$B$4:$G$1048576,5,0),"",VLOOKUP($B17,バージョン情報の確認!$B$4:$G$1048576,5,0)),"")</f>
        <v/>
      </c>
      <c r="D17" s="221" t="str">
        <f>HYPERLINK(IFERROR(IF(VLOOKUP($B17,テーブル17[[ソフトウェア]:[脆弱性の影響を受けるバージョンか]],3,0)="〇:影響を受ける",HYPERLINK(VLOOKUP($B17,テーブル13[[ソフトウェア]:[収集情報5]],3,0)),""),""))</f>
        <v/>
      </c>
      <c r="E17" s="170" t="str">
        <f>IFERROR(IF($D17="","",VLOOKUP($B17,テーブル17[[ソフトウェア]:[判定]],15,0)),"")</f>
        <v/>
      </c>
      <c r="F17" s="170" t="str" cm="1">
        <f t="array" ref="F17">IFERROR(_xlfn.IFS(
$E17=緊急度・対応方針設定!$A$24,緊急度・対応方針設定!$B$24,
$E17=緊急度・対応方針設定!$A$25,緊急度・対応方針設定!$B$25,
$E17=緊急度・対応方針設定!$A$26,緊急度・対応方針設定!$B$26,
$E17=緊急度・対応方針設定!$A$27,緊急度・対応方針設定!$B$27,
$E17=緊急度・対応方針設定!$A$28,緊急度・対応方針設定!$B$28,
$C17&lt;&gt;"","随時更新（脆弱性なし）"),"")</f>
        <v/>
      </c>
      <c r="G17" s="170"/>
    </row>
    <row r="18" spans="1:7" ht="27.95" customHeight="1">
      <c r="A18" s="171" t="str" cm="1">
        <f t="array" ref="A18">IFERROR(INDEX(脆弱性関連情報の確認!$A$4:$B$500,MATCH(LARGE((脆弱性関連情報の確認!$J$4:$J$500="○")*1/ROW(バージョン情報の確認!$A$4:$A$500),ROWS(脆弱性対策の適用判断!$A$4:$A18)),1/ROW(脆弱性関連情報の確認!$A$4:$A$500),0),COLUMNS(脆弱性関連情報の確認!$A$1:A$1)),"")</f>
        <v/>
      </c>
      <c r="B18" s="170" t="str" cm="1">
        <f t="array" ref="B18">IFERROR(INDEX(脆弱性関連情報の確認!$A$4:$B$500,MATCH(LARGE((脆弱性関連情報の確認!$J$4:$J$500="○")*1/ROW(バージョン情報の確認!$A$4:$A$500),ROWS(脆弱性対策の適用判断!$A$4:$A18)),1/ROW(脆弱性関連情報の確認!$A$4:$A$500),0),COLUMNS(脆弱性関連情報の確認!$A$1:B$1)),"")</f>
        <v/>
      </c>
      <c r="C18" s="170" t="str">
        <f>IFERROR(IF(VLOOKUP($B18,バージョン情報の確認!$B$4:$G$1048576,3,0)=VLOOKUP($B18,バージョン情報の確認!$B$4:$G$1048576,5,0),"",VLOOKUP($B18,バージョン情報の確認!$B$4:$G$1048576,5,0)),"")</f>
        <v/>
      </c>
      <c r="D18" s="221" t="str">
        <f>HYPERLINK(IFERROR(IF(VLOOKUP($B18,テーブル17[[ソフトウェア]:[脆弱性の影響を受けるバージョンか]],3,0)="〇:影響を受ける",HYPERLINK(VLOOKUP($B18,テーブル13[[ソフトウェア]:[収集情報5]],3,0)),""),""))</f>
        <v/>
      </c>
      <c r="E18" s="170" t="str">
        <f>IFERROR(IF($D18="","",VLOOKUP($B18,テーブル17[[ソフトウェア]:[判定]],15,0)),"")</f>
        <v/>
      </c>
      <c r="F18" s="170" t="str" cm="1">
        <f t="array" ref="F18">IFERROR(_xlfn.IFS(
$E18=緊急度・対応方針設定!$A$24,緊急度・対応方針設定!$B$24,
$E18=緊急度・対応方針設定!$A$25,緊急度・対応方針設定!$B$25,
$E18=緊急度・対応方針設定!$A$26,緊急度・対応方針設定!$B$26,
$E18=緊急度・対応方針設定!$A$27,緊急度・対応方針設定!$B$27,
$E18=緊急度・対応方針設定!$A$28,緊急度・対応方針設定!$B$28,
$C18&lt;&gt;"","随時更新（脆弱性なし）"),"")</f>
        <v/>
      </c>
      <c r="G18" s="170"/>
    </row>
    <row r="19" spans="1:7" ht="27.95" customHeight="1">
      <c r="A19" s="171" t="str" cm="1">
        <f t="array" ref="A19">IFERROR(INDEX(脆弱性関連情報の確認!$A$4:$B$500,MATCH(LARGE((脆弱性関連情報の確認!$J$4:$J$500="○")*1/ROW(バージョン情報の確認!$A$4:$A$500),ROWS(脆弱性対策の適用判断!$A$4:$A19)),1/ROW(脆弱性関連情報の確認!$A$4:$A$500),0),COLUMNS(脆弱性関連情報の確認!$A$1:A$1)),"")</f>
        <v/>
      </c>
      <c r="B19" s="170" t="str" cm="1">
        <f t="array" ref="B19">IFERROR(INDEX(脆弱性関連情報の確認!$A$4:$B$500,MATCH(LARGE((脆弱性関連情報の確認!$J$4:$J$500="○")*1/ROW(バージョン情報の確認!$A$4:$A$500),ROWS(脆弱性対策の適用判断!$A$4:$A19)),1/ROW(脆弱性関連情報の確認!$A$4:$A$500),0),COLUMNS(脆弱性関連情報の確認!$A$1:B$1)),"")</f>
        <v/>
      </c>
      <c r="C19" s="170" t="str">
        <f>IFERROR(IF(VLOOKUP($B19,バージョン情報の確認!$B$4:$G$1048576,3,0)=VLOOKUP($B19,バージョン情報の確認!$B$4:$G$1048576,5,0),"",VLOOKUP($B19,バージョン情報の確認!$B$4:$G$1048576,5,0)),"")</f>
        <v/>
      </c>
      <c r="D19" s="221" t="str">
        <f>HYPERLINK(IFERROR(IF(VLOOKUP($B19,テーブル17[[ソフトウェア]:[脆弱性の影響を受けるバージョンか]],3,0)="〇:影響を受ける",HYPERLINK(VLOOKUP($B19,テーブル13[[ソフトウェア]:[収集情報5]],3,0)),""),""))</f>
        <v/>
      </c>
      <c r="E19" s="170" t="str">
        <f>IFERROR(IF($D19="","",VLOOKUP($B19,テーブル17[[ソフトウェア]:[判定]],15,0)),"")</f>
        <v/>
      </c>
      <c r="F19" s="170" t="str" cm="1">
        <f t="array" ref="F19">IFERROR(_xlfn.IFS(
$E19=緊急度・対応方針設定!$A$24,緊急度・対応方針設定!$B$24,
$E19=緊急度・対応方針設定!$A$25,緊急度・対応方針設定!$B$25,
$E19=緊急度・対応方針設定!$A$26,緊急度・対応方針設定!$B$26,
$E19=緊急度・対応方針設定!$A$27,緊急度・対応方針設定!$B$27,
$E19=緊急度・対応方針設定!$A$28,緊急度・対応方針設定!$B$28,
$C19&lt;&gt;"","随時更新（脆弱性なし）"),"")</f>
        <v/>
      </c>
      <c r="G19" s="170"/>
    </row>
    <row r="20" spans="1:7" ht="27.95" customHeight="1">
      <c r="A20" s="171" t="str" cm="1">
        <f t="array" ref="A20">IFERROR(INDEX(脆弱性関連情報の確認!$A$4:$B$500,MATCH(LARGE((脆弱性関連情報の確認!$J$4:$J$500="○")*1/ROW(バージョン情報の確認!$A$4:$A$500),ROWS(脆弱性対策の適用判断!$A$4:$A20)),1/ROW(脆弱性関連情報の確認!$A$4:$A$500),0),COLUMNS(脆弱性関連情報の確認!$A$1:A$1)),"")</f>
        <v/>
      </c>
      <c r="B20" s="170" t="str" cm="1">
        <f t="array" ref="B20">IFERROR(INDEX(脆弱性関連情報の確認!$A$4:$B$500,MATCH(LARGE((脆弱性関連情報の確認!$J$4:$J$500="○")*1/ROW(バージョン情報の確認!$A$4:$A$500),ROWS(脆弱性対策の適用判断!$A$4:$A20)),1/ROW(脆弱性関連情報の確認!$A$4:$A$500),0),COLUMNS(脆弱性関連情報の確認!$A$1:B$1)),"")</f>
        <v/>
      </c>
      <c r="C20" s="170" t="str">
        <f>IFERROR(IF(VLOOKUP($B20,バージョン情報の確認!$B$4:$G$1048576,3,0)=VLOOKUP($B20,バージョン情報の確認!$B$4:$G$1048576,5,0),"",VLOOKUP($B20,バージョン情報の確認!$B$4:$G$1048576,5,0)),"")</f>
        <v/>
      </c>
      <c r="D20" s="221" t="str">
        <f>HYPERLINK(IFERROR(IF(VLOOKUP($B20,テーブル17[[ソフトウェア]:[脆弱性の影響を受けるバージョンか]],3,0)="〇:影響を受ける",HYPERLINK(VLOOKUP($B20,テーブル13[[ソフトウェア]:[収集情報5]],3,0)),""),""))</f>
        <v/>
      </c>
      <c r="E20" s="170" t="str">
        <f>IFERROR(IF($D20="","",VLOOKUP($B20,テーブル17[[ソフトウェア]:[判定]],15,0)),"")</f>
        <v/>
      </c>
      <c r="F20" s="170" t="str" cm="1">
        <f t="array" ref="F20">IFERROR(_xlfn.IFS(
$E20=緊急度・対応方針設定!$A$24,緊急度・対応方針設定!$B$24,
$E20=緊急度・対応方針設定!$A$25,緊急度・対応方針設定!$B$25,
$E20=緊急度・対応方針設定!$A$26,緊急度・対応方針設定!$B$26,
$E20=緊急度・対応方針設定!$A$27,緊急度・対応方針設定!$B$27,
$E20=緊急度・対応方針設定!$A$28,緊急度・対応方針設定!$B$28,
$C20&lt;&gt;"","随時更新（脆弱性なし）"),"")</f>
        <v/>
      </c>
      <c r="G20" s="170"/>
    </row>
    <row r="21" spans="1:7" ht="27.95" customHeight="1">
      <c r="A21" s="171" t="str" cm="1">
        <f t="array" ref="A21">IFERROR(INDEX(脆弱性関連情報の確認!$A$4:$B$500,MATCH(LARGE((脆弱性関連情報の確認!$J$4:$J$500="○")*1/ROW(バージョン情報の確認!$A$4:$A$500),ROWS(脆弱性対策の適用判断!$A$4:$A21)),1/ROW(脆弱性関連情報の確認!$A$4:$A$500),0),COLUMNS(脆弱性関連情報の確認!$A$1:A$1)),"")</f>
        <v/>
      </c>
      <c r="B21" s="170" t="str" cm="1">
        <f t="array" ref="B21">IFERROR(INDEX(脆弱性関連情報の確認!$A$4:$B$500,MATCH(LARGE((脆弱性関連情報の確認!$J$4:$J$500="○")*1/ROW(バージョン情報の確認!$A$4:$A$500),ROWS(脆弱性対策の適用判断!$A$4:$A21)),1/ROW(脆弱性関連情報の確認!$A$4:$A$500),0),COLUMNS(脆弱性関連情報の確認!$A$1:B$1)),"")</f>
        <v/>
      </c>
      <c r="C21" s="170" t="str">
        <f>IFERROR(IF(VLOOKUP($B21,バージョン情報の確認!$B$4:$G$1048576,3,0)=VLOOKUP($B21,バージョン情報の確認!$B$4:$G$1048576,5,0),"",VLOOKUP($B21,バージョン情報の確認!$B$4:$G$1048576,5,0)),"")</f>
        <v/>
      </c>
      <c r="D21" s="221" t="str">
        <f>HYPERLINK(IFERROR(IF(VLOOKUP($B21,テーブル17[[ソフトウェア]:[脆弱性の影響を受けるバージョンか]],3,0)="〇:影響を受ける",HYPERLINK(VLOOKUP($B21,テーブル13[[ソフトウェア]:[収集情報5]],3,0)),""),""))</f>
        <v/>
      </c>
      <c r="E21" s="170" t="str">
        <f>IFERROR(IF($D21="","",VLOOKUP($B21,テーブル17[[ソフトウェア]:[判定]],15,0)),"")</f>
        <v/>
      </c>
      <c r="F21" s="170" t="str" cm="1">
        <f t="array" ref="F21">IFERROR(_xlfn.IFS(
$E21=緊急度・対応方針設定!$A$24,緊急度・対応方針設定!$B$24,
$E21=緊急度・対応方針設定!$A$25,緊急度・対応方針設定!$B$25,
$E21=緊急度・対応方針設定!$A$26,緊急度・対応方針設定!$B$26,
$E21=緊急度・対応方針設定!$A$27,緊急度・対応方針設定!$B$27,
$E21=緊急度・対応方針設定!$A$28,緊急度・対応方針設定!$B$28,
$C21&lt;&gt;"","随時更新（脆弱性なし）"),"")</f>
        <v/>
      </c>
      <c r="G21" s="170"/>
    </row>
    <row r="22" spans="1:7" ht="27.95" customHeight="1">
      <c r="A22" s="171" t="str" cm="1">
        <f t="array" ref="A22">IFERROR(INDEX(脆弱性関連情報の確認!$A$4:$B$500,MATCH(LARGE((脆弱性関連情報の確認!$J$4:$J$500="○")*1/ROW(バージョン情報の確認!$A$4:$A$500),ROWS(脆弱性対策の適用判断!$A$4:$A22)),1/ROW(脆弱性関連情報の確認!$A$4:$A$500),0),COLUMNS(脆弱性関連情報の確認!$A$1:A$1)),"")</f>
        <v/>
      </c>
      <c r="B22" s="170" t="str" cm="1">
        <f t="array" ref="B22">IFERROR(INDEX(脆弱性関連情報の確認!$A$4:$B$500,MATCH(LARGE((脆弱性関連情報の確認!$J$4:$J$500="○")*1/ROW(バージョン情報の確認!$A$4:$A$500),ROWS(脆弱性対策の適用判断!$A$4:$A22)),1/ROW(脆弱性関連情報の確認!$A$4:$A$500),0),COLUMNS(脆弱性関連情報の確認!$A$1:B$1)),"")</f>
        <v/>
      </c>
      <c r="C22" s="170" t="str">
        <f>IFERROR(IF(VLOOKUP($B22,バージョン情報の確認!$B$4:$G$1048576,3,0)=VLOOKUP($B22,バージョン情報の確認!$B$4:$G$1048576,5,0),"",VLOOKUP($B22,バージョン情報の確認!$B$4:$G$1048576,5,0)),"")</f>
        <v/>
      </c>
      <c r="D22" s="221" t="str">
        <f>HYPERLINK(IFERROR(IF(VLOOKUP($B22,テーブル17[[ソフトウェア]:[脆弱性の影響を受けるバージョンか]],3,0)="〇:影響を受ける",HYPERLINK(VLOOKUP($B22,テーブル13[[ソフトウェア]:[収集情報5]],3,0)),""),""))</f>
        <v/>
      </c>
      <c r="E22" s="170" t="str">
        <f>IFERROR(IF($D22="","",VLOOKUP($B22,テーブル17[[ソフトウェア]:[判定]],15,0)),"")</f>
        <v/>
      </c>
      <c r="F22" s="170" t="str" cm="1">
        <f t="array" ref="F22">IFERROR(_xlfn.IFS(
$E22=緊急度・対応方針設定!$A$24,緊急度・対応方針設定!$B$24,
$E22=緊急度・対応方針設定!$A$25,緊急度・対応方針設定!$B$25,
$E22=緊急度・対応方針設定!$A$26,緊急度・対応方針設定!$B$26,
$E22=緊急度・対応方針設定!$A$27,緊急度・対応方針設定!$B$27,
$E22=緊急度・対応方針設定!$A$28,緊急度・対応方針設定!$B$28,
$C22&lt;&gt;"","随時更新（脆弱性なし）"),"")</f>
        <v/>
      </c>
      <c r="G22" s="170"/>
    </row>
    <row r="23" spans="1:7" ht="27.95" customHeight="1">
      <c r="A23" s="171" t="str" cm="1">
        <f t="array" ref="A23">IFERROR(INDEX(脆弱性関連情報の確認!$A$4:$B$500,MATCH(LARGE((脆弱性関連情報の確認!$J$4:$J$500="○")*1/ROW(バージョン情報の確認!$A$4:$A$500),ROWS(脆弱性対策の適用判断!$A$4:$A23)),1/ROW(脆弱性関連情報の確認!$A$4:$A$500),0),COLUMNS(脆弱性関連情報の確認!$A$1:A$1)),"")</f>
        <v/>
      </c>
      <c r="B23" s="170" t="str" cm="1">
        <f t="array" ref="B23">IFERROR(INDEX(脆弱性関連情報の確認!$A$4:$B$500,MATCH(LARGE((脆弱性関連情報の確認!$J$4:$J$500="○")*1/ROW(バージョン情報の確認!$A$4:$A$500),ROWS(脆弱性対策の適用判断!$A$4:$A23)),1/ROW(脆弱性関連情報の確認!$A$4:$A$500),0),COLUMNS(脆弱性関連情報の確認!$A$1:B$1)),"")</f>
        <v/>
      </c>
      <c r="C23" s="170" t="str">
        <f>IFERROR(IF(VLOOKUP($B23,バージョン情報の確認!$B$4:$G$1048576,3,0)=VLOOKUP($B23,バージョン情報の確認!$B$4:$G$1048576,5,0),"",VLOOKUP($B23,バージョン情報の確認!$B$4:$G$1048576,5,0)),"")</f>
        <v/>
      </c>
      <c r="D23" s="221" t="str">
        <f>HYPERLINK(IFERROR(IF(VLOOKUP($B23,テーブル17[[ソフトウェア]:[脆弱性の影響を受けるバージョンか]],3,0)="〇:影響を受ける",HYPERLINK(VLOOKUP($B23,テーブル13[[ソフトウェア]:[収集情報5]],3,0)),""),""))</f>
        <v/>
      </c>
      <c r="E23" s="170" t="str">
        <f>IFERROR(IF($D23="","",VLOOKUP($B23,テーブル17[[ソフトウェア]:[判定]],15,0)),"")</f>
        <v/>
      </c>
      <c r="F23" s="170" t="str" cm="1">
        <f t="array" ref="F23">IFERROR(_xlfn.IFS(
$E23=緊急度・対応方針設定!$A$24,緊急度・対応方針設定!$B$24,
$E23=緊急度・対応方針設定!$A$25,緊急度・対応方針設定!$B$25,
$E23=緊急度・対応方針設定!$A$26,緊急度・対応方針設定!$B$26,
$E23=緊急度・対応方針設定!$A$27,緊急度・対応方針設定!$B$27,
$E23=緊急度・対応方針設定!$A$28,緊急度・対応方針設定!$B$28,
$C23&lt;&gt;"","随時更新（脆弱性なし）"),"")</f>
        <v/>
      </c>
      <c r="G23" s="170"/>
    </row>
    <row r="24" spans="1:7" ht="27.95" customHeight="1">
      <c r="A24" s="171" t="str" cm="1">
        <f t="array" ref="A24">IFERROR(INDEX(脆弱性関連情報の確認!$A$4:$B$500,MATCH(LARGE((脆弱性関連情報の確認!$J$4:$J$500="○")*1/ROW(バージョン情報の確認!$A$4:$A$500),ROWS(脆弱性対策の適用判断!$A$4:$A24)),1/ROW(脆弱性関連情報の確認!$A$4:$A$500),0),COLUMNS(脆弱性関連情報の確認!$A$1:A$1)),"")</f>
        <v/>
      </c>
      <c r="B24" s="170" t="str" cm="1">
        <f t="array" ref="B24">IFERROR(INDEX(脆弱性関連情報の確認!$A$4:$B$500,MATCH(LARGE((脆弱性関連情報の確認!$J$4:$J$500="○")*1/ROW(バージョン情報の確認!$A$4:$A$500),ROWS(脆弱性対策の適用判断!$A$4:$A24)),1/ROW(脆弱性関連情報の確認!$A$4:$A$500),0),COLUMNS(脆弱性関連情報の確認!$A$1:B$1)),"")</f>
        <v/>
      </c>
      <c r="C24" s="170" t="str">
        <f>IFERROR(IF(VLOOKUP($B24,バージョン情報の確認!$B$4:$G$1048576,3,0)=VLOOKUP($B24,バージョン情報の確認!$B$4:$G$1048576,5,0),"",VLOOKUP($B24,バージョン情報の確認!$B$4:$G$1048576,5,0)),"")</f>
        <v/>
      </c>
      <c r="D24" s="221" t="str">
        <f>HYPERLINK(IFERROR(IF(VLOOKUP($B24,テーブル17[[ソフトウェア]:[脆弱性の影響を受けるバージョンか]],3,0)="〇:影響を受ける",HYPERLINK(VLOOKUP($B24,テーブル13[[ソフトウェア]:[収集情報5]],3,0)),""),""))</f>
        <v/>
      </c>
      <c r="E24" s="170" t="str">
        <f>IFERROR(IF($D24="","",VLOOKUP($B24,テーブル17[[ソフトウェア]:[判定]],15,0)),"")</f>
        <v/>
      </c>
      <c r="F24" s="170" t="str" cm="1">
        <f t="array" ref="F24">IFERROR(_xlfn.IFS(
$E24=緊急度・対応方針設定!$A$24,緊急度・対応方針設定!$B$24,
$E24=緊急度・対応方針設定!$A$25,緊急度・対応方針設定!$B$25,
$E24=緊急度・対応方針設定!$A$26,緊急度・対応方針設定!$B$26,
$E24=緊急度・対応方針設定!$A$27,緊急度・対応方針設定!$B$27,
$E24=緊急度・対応方針設定!$A$28,緊急度・対応方針設定!$B$28,
$C24&lt;&gt;"","随時更新（脆弱性なし）"),"")</f>
        <v/>
      </c>
      <c r="G24" s="170"/>
    </row>
    <row r="25" spans="1:7" ht="27.95" customHeight="1">
      <c r="A25" s="171" t="str" cm="1">
        <f t="array" ref="A25">IFERROR(INDEX(脆弱性関連情報の確認!$A$4:$B$500,MATCH(LARGE((脆弱性関連情報の確認!$J$4:$J$500="○")*1/ROW(バージョン情報の確認!$A$4:$A$500),ROWS(脆弱性対策の適用判断!$A$4:$A25)),1/ROW(脆弱性関連情報の確認!$A$4:$A$500),0),COLUMNS(脆弱性関連情報の確認!$A$1:A$1)),"")</f>
        <v/>
      </c>
      <c r="B25" s="170" t="str" cm="1">
        <f t="array" ref="B25">IFERROR(INDEX(脆弱性関連情報の確認!$A$4:$B$500,MATCH(LARGE((脆弱性関連情報の確認!$J$4:$J$500="○")*1/ROW(バージョン情報の確認!$A$4:$A$500),ROWS(脆弱性対策の適用判断!$A$4:$A25)),1/ROW(脆弱性関連情報の確認!$A$4:$A$500),0),COLUMNS(脆弱性関連情報の確認!$A$1:B$1)),"")</f>
        <v/>
      </c>
      <c r="C25" s="170" t="str">
        <f>IFERROR(IF(VLOOKUP($B25,バージョン情報の確認!$B$4:$G$1048576,3,0)=VLOOKUP($B25,バージョン情報の確認!$B$4:$G$1048576,5,0),"",VLOOKUP($B25,バージョン情報の確認!$B$4:$G$1048576,5,0)),"")</f>
        <v/>
      </c>
      <c r="D25" s="221" t="str">
        <f>HYPERLINK(IFERROR(IF(VLOOKUP($B25,テーブル17[[ソフトウェア]:[脆弱性の影響を受けるバージョンか]],3,0)="〇:影響を受ける",HYPERLINK(VLOOKUP($B25,テーブル13[[ソフトウェア]:[収集情報5]],3,0)),""),""))</f>
        <v/>
      </c>
      <c r="E25" s="170" t="str">
        <f>IFERROR(IF($D25="","",VLOOKUP($B25,テーブル17[[ソフトウェア]:[判定]],15,0)),"")</f>
        <v/>
      </c>
      <c r="F25" s="170" t="str" cm="1">
        <f t="array" ref="F25">IFERROR(_xlfn.IFS(
$E25=緊急度・対応方針設定!$A$24,緊急度・対応方針設定!$B$24,
$E25=緊急度・対応方針設定!$A$25,緊急度・対応方針設定!$B$25,
$E25=緊急度・対応方針設定!$A$26,緊急度・対応方針設定!$B$26,
$E25=緊急度・対応方針設定!$A$27,緊急度・対応方針設定!$B$27,
$E25=緊急度・対応方針設定!$A$28,緊急度・対応方針設定!$B$28,
$C25&lt;&gt;"","随時更新（脆弱性なし）"),"")</f>
        <v/>
      </c>
      <c r="G25" s="170"/>
    </row>
    <row r="26" spans="1:7" ht="27.95" customHeight="1">
      <c r="A26" s="171" t="str" cm="1">
        <f t="array" ref="A26">IFERROR(INDEX(脆弱性関連情報の確認!$A$4:$B$500,MATCH(LARGE((脆弱性関連情報の確認!$J$4:$J$500="○")*1/ROW(バージョン情報の確認!$A$4:$A$500),ROWS(脆弱性対策の適用判断!$A$4:$A26)),1/ROW(脆弱性関連情報の確認!$A$4:$A$500),0),COLUMNS(脆弱性関連情報の確認!$A$1:A$1)),"")</f>
        <v/>
      </c>
      <c r="B26" s="170" t="str" cm="1">
        <f t="array" ref="B26">IFERROR(INDEX(脆弱性関連情報の確認!$A$4:$B$500,MATCH(LARGE((脆弱性関連情報の確認!$J$4:$J$500="○")*1/ROW(バージョン情報の確認!$A$4:$A$500),ROWS(脆弱性対策の適用判断!$A$4:$A26)),1/ROW(脆弱性関連情報の確認!$A$4:$A$500),0),COLUMNS(脆弱性関連情報の確認!$A$1:B$1)),"")</f>
        <v/>
      </c>
      <c r="C26" s="170" t="str">
        <f>IFERROR(IF(VLOOKUP($B26,バージョン情報の確認!$B$4:$G$1048576,3,0)=VLOOKUP($B26,バージョン情報の確認!$B$4:$G$1048576,5,0),"",VLOOKUP($B26,バージョン情報の確認!$B$4:$G$1048576,5,0)),"")</f>
        <v/>
      </c>
      <c r="D26" s="221" t="str">
        <f>HYPERLINK(IFERROR(IF(VLOOKUP($B26,テーブル17[[ソフトウェア]:[脆弱性の影響を受けるバージョンか]],3,0)="〇:影響を受ける",HYPERLINK(VLOOKUP($B26,テーブル13[[ソフトウェア]:[収集情報5]],3,0)),""),""))</f>
        <v/>
      </c>
      <c r="E26" s="170" t="str">
        <f>IFERROR(IF($D26="","",VLOOKUP($B26,テーブル17[[ソフトウェア]:[判定]],15,0)),"")</f>
        <v/>
      </c>
      <c r="F26" s="170" t="str" cm="1">
        <f t="array" ref="F26">IFERROR(_xlfn.IFS(
$E26=緊急度・対応方針設定!$A$24,緊急度・対応方針設定!$B$24,
$E26=緊急度・対応方針設定!$A$25,緊急度・対応方針設定!$B$25,
$E26=緊急度・対応方針設定!$A$26,緊急度・対応方針設定!$B$26,
$E26=緊急度・対応方針設定!$A$27,緊急度・対応方針設定!$B$27,
$E26=緊急度・対応方針設定!$A$28,緊急度・対応方針設定!$B$28,
$C26&lt;&gt;"","随時更新（脆弱性なし）"),"")</f>
        <v/>
      </c>
      <c r="G26" s="170"/>
    </row>
    <row r="27" spans="1:7" ht="27.95" customHeight="1">
      <c r="A27" s="171" t="str" cm="1">
        <f t="array" ref="A27">IFERROR(INDEX(脆弱性関連情報の確認!$A$4:$B$500,MATCH(LARGE((脆弱性関連情報の確認!$J$4:$J$500="○")*1/ROW(バージョン情報の確認!$A$4:$A$500),ROWS(脆弱性対策の適用判断!$A$4:$A27)),1/ROW(脆弱性関連情報の確認!$A$4:$A$500),0),COLUMNS(脆弱性関連情報の確認!$A$1:A$1)),"")</f>
        <v/>
      </c>
      <c r="B27" s="170" t="str" cm="1">
        <f t="array" ref="B27">IFERROR(INDEX(脆弱性関連情報の確認!$A$4:$B$500,MATCH(LARGE((脆弱性関連情報の確認!$J$4:$J$500="○")*1/ROW(バージョン情報の確認!$A$4:$A$500),ROWS(脆弱性対策の適用判断!$A$4:$A27)),1/ROW(脆弱性関連情報の確認!$A$4:$A$500),0),COLUMNS(脆弱性関連情報の確認!$A$1:B$1)),"")</f>
        <v/>
      </c>
      <c r="C27" s="170" t="str">
        <f>IFERROR(IF(VLOOKUP($B27,バージョン情報の確認!$B$4:$G$1048576,3,0)=VLOOKUP($B27,バージョン情報の確認!$B$4:$G$1048576,5,0),"",VLOOKUP($B27,バージョン情報の確認!$B$4:$G$1048576,5,0)),"")</f>
        <v/>
      </c>
      <c r="D27" s="221" t="str">
        <f>HYPERLINK(IFERROR(IF(VLOOKUP($B27,テーブル17[[ソフトウェア]:[脆弱性の影響を受けるバージョンか]],3,0)="〇:影響を受ける",HYPERLINK(VLOOKUP($B27,テーブル13[[ソフトウェア]:[収集情報5]],3,0)),""),""))</f>
        <v/>
      </c>
      <c r="E27" s="170" t="str">
        <f>IFERROR(IF($D27="","",VLOOKUP($B27,テーブル17[[ソフトウェア]:[判定]],15,0)),"")</f>
        <v/>
      </c>
      <c r="F27" s="170" t="str" cm="1">
        <f t="array" ref="F27">IFERROR(_xlfn.IFS(
$E27=緊急度・対応方針設定!$A$24,緊急度・対応方針設定!$B$24,
$E27=緊急度・対応方針設定!$A$25,緊急度・対応方針設定!$B$25,
$E27=緊急度・対応方針設定!$A$26,緊急度・対応方針設定!$B$26,
$E27=緊急度・対応方針設定!$A$27,緊急度・対応方針設定!$B$27,
$E27=緊急度・対応方針設定!$A$28,緊急度・対応方針設定!$B$28,
$C27&lt;&gt;"","随時更新（脆弱性なし）"),"")</f>
        <v/>
      </c>
      <c r="G27" s="170"/>
    </row>
    <row r="28" spans="1:7" ht="27.95" customHeight="1">
      <c r="A28" s="171" t="str" cm="1">
        <f t="array" ref="A28">IFERROR(INDEX(脆弱性関連情報の確認!$A$4:$B$500,MATCH(LARGE((脆弱性関連情報の確認!$J$4:$J$500="○")*1/ROW(バージョン情報の確認!$A$4:$A$500),ROWS(脆弱性対策の適用判断!$A$4:$A28)),1/ROW(脆弱性関連情報の確認!$A$4:$A$500),0),COLUMNS(脆弱性関連情報の確認!$A$1:A$1)),"")</f>
        <v/>
      </c>
      <c r="B28" s="170" t="str" cm="1">
        <f t="array" ref="B28">IFERROR(INDEX(脆弱性関連情報の確認!$A$4:$B$500,MATCH(LARGE((脆弱性関連情報の確認!$J$4:$J$500="○")*1/ROW(バージョン情報の確認!$A$4:$A$500),ROWS(脆弱性対策の適用判断!$A$4:$A28)),1/ROW(脆弱性関連情報の確認!$A$4:$A$500),0),COLUMNS(脆弱性関連情報の確認!$A$1:B$1)),"")</f>
        <v/>
      </c>
      <c r="C28" s="170" t="str">
        <f>IFERROR(IF(VLOOKUP($B28,バージョン情報の確認!$B$4:$G$1048576,3,0)=VLOOKUP($B28,バージョン情報の確認!$B$4:$G$1048576,5,0),"",VLOOKUP($B28,バージョン情報の確認!$B$4:$G$1048576,5,0)),"")</f>
        <v/>
      </c>
      <c r="D28" s="221" t="str">
        <f>HYPERLINK(IFERROR(IF(VLOOKUP($B28,テーブル17[[ソフトウェア]:[脆弱性の影響を受けるバージョンか]],3,0)="〇:影響を受ける",HYPERLINK(VLOOKUP($B28,テーブル13[[ソフトウェア]:[収集情報5]],3,0)),""),""))</f>
        <v/>
      </c>
      <c r="E28" s="170" t="str">
        <f>IFERROR(IF($D28="","",VLOOKUP($B28,テーブル17[[ソフトウェア]:[判定]],15,0)),"")</f>
        <v/>
      </c>
      <c r="F28" s="170" t="str" cm="1">
        <f t="array" ref="F28">IFERROR(_xlfn.IFS(
$E28=緊急度・対応方針設定!$A$24,緊急度・対応方針設定!$B$24,
$E28=緊急度・対応方針設定!$A$25,緊急度・対応方針設定!$B$25,
$E28=緊急度・対応方針設定!$A$26,緊急度・対応方針設定!$B$26,
$E28=緊急度・対応方針設定!$A$27,緊急度・対応方針設定!$B$27,
$E28=緊急度・対応方針設定!$A$28,緊急度・対応方針設定!$B$28,
$C28&lt;&gt;"","随時更新（脆弱性なし）"),"")</f>
        <v/>
      </c>
      <c r="G28" s="170"/>
    </row>
    <row r="29" spans="1:7" ht="27.95" customHeight="1">
      <c r="A29" s="171" t="str" cm="1">
        <f t="array" ref="A29">IFERROR(INDEX(脆弱性関連情報の確認!$A$4:$B$500,MATCH(LARGE((脆弱性関連情報の確認!$J$4:$J$500="○")*1/ROW(バージョン情報の確認!$A$4:$A$500),ROWS(脆弱性対策の適用判断!$A$4:$A29)),1/ROW(脆弱性関連情報の確認!$A$4:$A$500),0),COLUMNS(脆弱性関連情報の確認!$A$1:A$1)),"")</f>
        <v/>
      </c>
      <c r="B29" s="170" t="str" cm="1">
        <f t="array" ref="B29">IFERROR(INDEX(脆弱性関連情報の確認!$A$4:$B$500,MATCH(LARGE((脆弱性関連情報の確認!$J$4:$J$500="○")*1/ROW(バージョン情報の確認!$A$4:$A$500),ROWS(脆弱性対策の適用判断!$A$4:$A29)),1/ROW(脆弱性関連情報の確認!$A$4:$A$500),0),COLUMNS(脆弱性関連情報の確認!$A$1:B$1)),"")</f>
        <v/>
      </c>
      <c r="C29" s="170" t="str">
        <f>IFERROR(IF(VLOOKUP($B29,バージョン情報の確認!$B$4:$G$1048576,3,0)=VLOOKUP($B29,バージョン情報の確認!$B$4:$G$1048576,5,0),"",VLOOKUP($B29,バージョン情報の確認!$B$4:$G$1048576,5,0)),"")</f>
        <v/>
      </c>
      <c r="D29" s="221" t="str">
        <f>HYPERLINK(IFERROR(IF(VLOOKUP($B29,テーブル17[[ソフトウェア]:[脆弱性の影響を受けるバージョンか]],3,0)="〇:影響を受ける",HYPERLINK(VLOOKUP($B29,テーブル13[[ソフトウェア]:[収集情報5]],3,0)),""),""))</f>
        <v/>
      </c>
      <c r="E29" s="170" t="str">
        <f>IFERROR(IF($D29="","",VLOOKUP($B29,テーブル17[[ソフトウェア]:[判定]],15,0)),"")</f>
        <v/>
      </c>
      <c r="F29" s="170" t="str" cm="1">
        <f t="array" ref="F29">IFERROR(_xlfn.IFS(
$E29=緊急度・対応方針設定!$A$24,緊急度・対応方針設定!$B$24,
$E29=緊急度・対応方針設定!$A$25,緊急度・対応方針設定!$B$25,
$E29=緊急度・対応方針設定!$A$26,緊急度・対応方針設定!$B$26,
$E29=緊急度・対応方針設定!$A$27,緊急度・対応方針設定!$B$27,
$E29=緊急度・対応方針設定!$A$28,緊急度・対応方針設定!$B$28,
$C29&lt;&gt;"","随時更新（脆弱性なし）"),"")</f>
        <v/>
      </c>
      <c r="G29" s="170"/>
    </row>
    <row r="30" spans="1:7" ht="27.95" customHeight="1">
      <c r="A30" s="171" t="str" cm="1">
        <f t="array" ref="A30">IFERROR(INDEX(脆弱性関連情報の確認!$A$4:$B$500,MATCH(LARGE((脆弱性関連情報の確認!$J$4:$J$500="○")*1/ROW(バージョン情報の確認!$A$4:$A$500),ROWS(脆弱性対策の適用判断!$A$4:$A30)),1/ROW(脆弱性関連情報の確認!$A$4:$A$500),0),COLUMNS(脆弱性関連情報の確認!$A$1:A$1)),"")</f>
        <v/>
      </c>
      <c r="B30" s="170" t="str" cm="1">
        <f t="array" ref="B30">IFERROR(INDEX(脆弱性関連情報の確認!$A$4:$B$500,MATCH(LARGE((脆弱性関連情報の確認!$J$4:$J$500="○")*1/ROW(バージョン情報の確認!$A$4:$A$500),ROWS(脆弱性対策の適用判断!$A$4:$A30)),1/ROW(脆弱性関連情報の確認!$A$4:$A$500),0),COLUMNS(脆弱性関連情報の確認!$A$1:B$1)),"")</f>
        <v/>
      </c>
      <c r="C30" s="170" t="str">
        <f>IFERROR(IF(VLOOKUP($B30,バージョン情報の確認!$B$4:$G$1048576,3,0)=VLOOKUP($B30,バージョン情報の確認!$B$4:$G$1048576,5,0),"",VLOOKUP($B30,バージョン情報の確認!$B$4:$G$1048576,5,0)),"")</f>
        <v/>
      </c>
      <c r="D30" s="221" t="str">
        <f>HYPERLINK(IFERROR(IF(VLOOKUP($B30,テーブル17[[ソフトウェア]:[脆弱性の影響を受けるバージョンか]],3,0)="〇:影響を受ける",HYPERLINK(VLOOKUP($B30,テーブル13[[ソフトウェア]:[収集情報5]],3,0)),""),""))</f>
        <v/>
      </c>
      <c r="E30" s="170" t="str">
        <f>IFERROR(IF($D30="","",VLOOKUP($B30,テーブル17[[ソフトウェア]:[判定]],15,0)),"")</f>
        <v/>
      </c>
      <c r="F30" s="170" t="str" cm="1">
        <f t="array" ref="F30">IFERROR(_xlfn.IFS(
$E30=緊急度・対応方針設定!$A$24,緊急度・対応方針設定!$B$24,
$E30=緊急度・対応方針設定!$A$25,緊急度・対応方針設定!$B$25,
$E30=緊急度・対応方針設定!$A$26,緊急度・対応方針設定!$B$26,
$E30=緊急度・対応方針設定!$A$27,緊急度・対応方針設定!$B$27,
$E30=緊急度・対応方針設定!$A$28,緊急度・対応方針設定!$B$28,
$C30&lt;&gt;"","随時更新（脆弱性なし）"),"")</f>
        <v/>
      </c>
      <c r="G30" s="170"/>
    </row>
    <row r="31" spans="1:7" ht="27.95" customHeight="1">
      <c r="A31" s="171" t="str" cm="1">
        <f t="array" ref="A31">IFERROR(INDEX(脆弱性関連情報の確認!$A$4:$B$500,MATCH(LARGE((脆弱性関連情報の確認!$J$4:$J$500="○")*1/ROW(バージョン情報の確認!$A$4:$A$500),ROWS(脆弱性対策の適用判断!$A$4:$A31)),1/ROW(脆弱性関連情報の確認!$A$4:$A$500),0),COLUMNS(脆弱性関連情報の確認!$A$1:A$1)),"")</f>
        <v/>
      </c>
      <c r="B31" s="170" t="str" cm="1">
        <f t="array" ref="B31">IFERROR(INDEX(脆弱性関連情報の確認!$A$4:$B$500,MATCH(LARGE((脆弱性関連情報の確認!$J$4:$J$500="○")*1/ROW(バージョン情報の確認!$A$4:$A$500),ROWS(脆弱性対策の適用判断!$A$4:$A31)),1/ROW(脆弱性関連情報の確認!$A$4:$A$500),0),COLUMNS(脆弱性関連情報の確認!$A$1:B$1)),"")</f>
        <v/>
      </c>
      <c r="C31" s="170" t="str">
        <f>IFERROR(IF(VLOOKUP($B31,バージョン情報の確認!$B$4:$G$1048576,3,0)=VLOOKUP($B31,バージョン情報の確認!$B$4:$G$1048576,5,0),"",VLOOKUP($B31,バージョン情報の確認!$B$4:$G$1048576,5,0)),"")</f>
        <v/>
      </c>
      <c r="D31" s="221" t="str">
        <f>HYPERLINK(IFERROR(IF(VLOOKUP($B31,テーブル17[[ソフトウェア]:[脆弱性の影響を受けるバージョンか]],3,0)="〇:影響を受ける",HYPERLINK(VLOOKUP($B31,テーブル13[[ソフトウェア]:[収集情報5]],3,0)),""),""))</f>
        <v/>
      </c>
      <c r="E31" s="170" t="str">
        <f>IFERROR(IF($D31="","",VLOOKUP($B31,テーブル17[[ソフトウェア]:[判定]],15,0)),"")</f>
        <v/>
      </c>
      <c r="F31" s="170" t="str" cm="1">
        <f t="array" ref="F31">IFERROR(_xlfn.IFS(
$E31=緊急度・対応方針設定!$A$24,緊急度・対応方針設定!$B$24,
$E31=緊急度・対応方針設定!$A$25,緊急度・対応方針設定!$B$25,
$E31=緊急度・対応方針設定!$A$26,緊急度・対応方針設定!$B$26,
$E31=緊急度・対応方針設定!$A$27,緊急度・対応方針設定!$B$27,
$E31=緊急度・対応方針設定!$A$28,緊急度・対応方針設定!$B$28,
$C31&lt;&gt;"","随時更新（脆弱性なし）"),"")</f>
        <v/>
      </c>
      <c r="G31" s="170"/>
    </row>
    <row r="32" spans="1:7" ht="27.95" customHeight="1">
      <c r="A32" s="171" t="str" cm="1">
        <f t="array" ref="A32">IFERROR(INDEX(脆弱性関連情報の確認!$A$4:$B$500,MATCH(LARGE((脆弱性関連情報の確認!$J$4:$J$500="○")*1/ROW(バージョン情報の確認!$A$4:$A$500),ROWS(脆弱性対策の適用判断!$A$4:$A32)),1/ROW(脆弱性関連情報の確認!$A$4:$A$500),0),COLUMNS(脆弱性関連情報の確認!$A$1:A$1)),"")</f>
        <v/>
      </c>
      <c r="B32" s="170" t="str" cm="1">
        <f t="array" ref="B32">IFERROR(INDEX(脆弱性関連情報の確認!$A$4:$B$500,MATCH(LARGE((脆弱性関連情報の確認!$J$4:$J$500="○")*1/ROW(バージョン情報の確認!$A$4:$A$500),ROWS(脆弱性対策の適用判断!$A$4:$A32)),1/ROW(脆弱性関連情報の確認!$A$4:$A$500),0),COLUMNS(脆弱性関連情報の確認!$A$1:B$1)),"")</f>
        <v/>
      </c>
      <c r="C32" s="170" t="str">
        <f>IFERROR(IF(VLOOKUP($B32,バージョン情報の確認!$B$4:$G$1048576,3,0)=VLOOKUP($B32,バージョン情報の確認!$B$4:$G$1048576,5,0),"",VLOOKUP($B32,バージョン情報の確認!$B$4:$G$1048576,5,0)),"")</f>
        <v/>
      </c>
      <c r="D32" s="221" t="str">
        <f>HYPERLINK(IFERROR(IF(VLOOKUP($B32,テーブル17[[ソフトウェア]:[脆弱性の影響を受けるバージョンか]],3,0)="〇:影響を受ける",HYPERLINK(VLOOKUP($B32,テーブル13[[ソフトウェア]:[収集情報5]],3,0)),""),""))</f>
        <v/>
      </c>
      <c r="E32" s="170" t="str">
        <f>IFERROR(IF($D32="","",VLOOKUP($B32,テーブル17[[ソフトウェア]:[判定]],15,0)),"")</f>
        <v/>
      </c>
      <c r="F32" s="170" t="str" cm="1">
        <f t="array" ref="F32">IFERROR(_xlfn.IFS(
$E32=緊急度・対応方針設定!$A$24,緊急度・対応方針設定!$B$24,
$E32=緊急度・対応方針設定!$A$25,緊急度・対応方針設定!$B$25,
$E32=緊急度・対応方針設定!$A$26,緊急度・対応方針設定!$B$26,
$E32=緊急度・対応方針設定!$A$27,緊急度・対応方針設定!$B$27,
$E32=緊急度・対応方針設定!$A$28,緊急度・対応方針設定!$B$28,
$C32&lt;&gt;"","随時更新（脆弱性なし）"),"")</f>
        <v/>
      </c>
      <c r="G32" s="170"/>
    </row>
    <row r="33" spans="1:7" ht="27.95" customHeight="1">
      <c r="A33" s="171" t="str" cm="1">
        <f t="array" ref="A33">IFERROR(INDEX(脆弱性関連情報の確認!$A$4:$B$500,MATCH(LARGE((脆弱性関連情報の確認!$J$4:$J$500="○")*1/ROW(バージョン情報の確認!$A$4:$A$500),ROWS(脆弱性対策の適用判断!$A$4:$A33)),1/ROW(脆弱性関連情報の確認!$A$4:$A$500),0),COLUMNS(脆弱性関連情報の確認!$A$1:A$1)),"")</f>
        <v/>
      </c>
      <c r="B33" s="170" t="str" cm="1">
        <f t="array" ref="B33">IFERROR(INDEX(脆弱性関連情報の確認!$A$4:$B$500,MATCH(LARGE((脆弱性関連情報の確認!$J$4:$J$500="○")*1/ROW(バージョン情報の確認!$A$4:$A$500),ROWS(脆弱性対策の適用判断!$A$4:$A33)),1/ROW(脆弱性関連情報の確認!$A$4:$A$500),0),COLUMNS(脆弱性関連情報の確認!$A$1:B$1)),"")</f>
        <v/>
      </c>
      <c r="C33" s="170" t="str">
        <f>IFERROR(IF(VLOOKUP($B33,バージョン情報の確認!$B$4:$G$1048576,3,0)=VLOOKUP($B33,バージョン情報の確認!$B$4:$G$1048576,5,0),"",VLOOKUP($B33,バージョン情報の確認!$B$4:$G$1048576,5,0)),"")</f>
        <v/>
      </c>
      <c r="D33" s="221" t="str">
        <f>HYPERLINK(IFERROR(IF(VLOOKUP($B33,テーブル17[[ソフトウェア]:[脆弱性の影響を受けるバージョンか]],3,0)="〇:影響を受ける",HYPERLINK(VLOOKUP($B33,テーブル13[[ソフトウェア]:[収集情報5]],3,0)),""),""))</f>
        <v/>
      </c>
      <c r="E33" s="170" t="str">
        <f>IFERROR(IF($D33="","",VLOOKUP($B33,テーブル17[[ソフトウェア]:[判定]],15,0)),"")</f>
        <v/>
      </c>
      <c r="F33" s="170" t="str" cm="1">
        <f t="array" ref="F33">IFERROR(_xlfn.IFS(
$E33=緊急度・対応方針設定!$A$24,緊急度・対応方針設定!$B$24,
$E33=緊急度・対応方針設定!$A$25,緊急度・対応方針設定!$B$25,
$E33=緊急度・対応方針設定!$A$26,緊急度・対応方針設定!$B$26,
$E33=緊急度・対応方針設定!$A$27,緊急度・対応方針設定!$B$27,
$E33=緊急度・対応方針設定!$A$28,緊急度・対応方針設定!$B$28,
$C33&lt;&gt;"","随時更新（脆弱性なし）"),"")</f>
        <v/>
      </c>
      <c r="G33" s="170"/>
    </row>
    <row r="34" spans="1:7" ht="27.95" customHeight="1">
      <c r="A34" s="171" t="str" cm="1">
        <f t="array" ref="A34">IFERROR(INDEX(脆弱性関連情報の確認!$A$4:$B$500,MATCH(LARGE((脆弱性関連情報の確認!$J$4:$J$500="○")*1/ROW(バージョン情報の確認!$A$4:$A$500),ROWS(脆弱性対策の適用判断!$A$4:$A34)),1/ROW(脆弱性関連情報の確認!$A$4:$A$500),0),COLUMNS(脆弱性関連情報の確認!$A$1:A$1)),"")</f>
        <v/>
      </c>
      <c r="B34" s="170" t="str" cm="1">
        <f t="array" ref="B34">IFERROR(INDEX(脆弱性関連情報の確認!$A$4:$B$500,MATCH(LARGE((脆弱性関連情報の確認!$J$4:$J$500="○")*1/ROW(バージョン情報の確認!$A$4:$A$500),ROWS(脆弱性対策の適用判断!$A$4:$A34)),1/ROW(脆弱性関連情報の確認!$A$4:$A$500),0),COLUMNS(脆弱性関連情報の確認!$A$1:B$1)),"")</f>
        <v/>
      </c>
      <c r="C34" s="170" t="str">
        <f>IFERROR(IF(VLOOKUP($B34,バージョン情報の確認!$B$4:$G$1048576,3,0)=VLOOKUP($B34,バージョン情報の確認!$B$4:$G$1048576,5,0),"",VLOOKUP($B34,バージョン情報の確認!$B$4:$G$1048576,5,0)),"")</f>
        <v/>
      </c>
      <c r="D34" s="221" t="str">
        <f>HYPERLINK(IFERROR(IF(VLOOKUP($B34,テーブル17[[ソフトウェア]:[脆弱性の影響を受けるバージョンか]],3,0)="〇:影響を受ける",HYPERLINK(VLOOKUP($B34,テーブル13[[ソフトウェア]:[収集情報5]],3,0)),""),""))</f>
        <v/>
      </c>
      <c r="E34" s="170" t="str">
        <f>IFERROR(IF($D34="","",VLOOKUP($B34,テーブル17[[ソフトウェア]:[判定]],15,0)),"")</f>
        <v/>
      </c>
      <c r="F34" s="170" t="str" cm="1">
        <f t="array" ref="F34">IFERROR(_xlfn.IFS(
$E34=緊急度・対応方針設定!$A$24,緊急度・対応方針設定!$B$24,
$E34=緊急度・対応方針設定!$A$25,緊急度・対応方針設定!$B$25,
$E34=緊急度・対応方針設定!$A$26,緊急度・対応方針設定!$B$26,
$E34=緊急度・対応方針設定!$A$27,緊急度・対応方針設定!$B$27,
$E34=緊急度・対応方針設定!$A$28,緊急度・対応方針設定!$B$28,
$C34&lt;&gt;"","随時更新（脆弱性なし）"),"")</f>
        <v/>
      </c>
      <c r="G34" s="170"/>
    </row>
    <row r="35" spans="1:7" ht="27.95" customHeight="1">
      <c r="A35" s="171" t="str" cm="1">
        <f t="array" ref="A35">IFERROR(INDEX(脆弱性関連情報の確認!$A$4:$B$500,MATCH(LARGE((脆弱性関連情報の確認!$J$4:$J$500="○")*1/ROW(バージョン情報の確認!$A$4:$A$500),ROWS(脆弱性対策の適用判断!$A$4:$A35)),1/ROW(脆弱性関連情報の確認!$A$4:$A$500),0),COLUMNS(脆弱性関連情報の確認!$A$1:A$1)),"")</f>
        <v/>
      </c>
      <c r="B35" s="170" t="str" cm="1">
        <f t="array" ref="B35">IFERROR(INDEX(脆弱性関連情報の確認!$A$4:$B$500,MATCH(LARGE((脆弱性関連情報の確認!$J$4:$J$500="○")*1/ROW(バージョン情報の確認!$A$4:$A$500),ROWS(脆弱性対策の適用判断!$A$4:$A35)),1/ROW(脆弱性関連情報の確認!$A$4:$A$500),0),COLUMNS(脆弱性関連情報の確認!$A$1:B$1)),"")</f>
        <v/>
      </c>
      <c r="C35" s="170" t="str">
        <f>IFERROR(IF(VLOOKUP($B35,バージョン情報の確認!$B$4:$G$1048576,3,0)=VLOOKUP($B35,バージョン情報の確認!$B$4:$G$1048576,5,0),"",VLOOKUP($B35,バージョン情報の確認!$B$4:$G$1048576,5,0)),"")</f>
        <v/>
      </c>
      <c r="D35" s="221" t="str">
        <f>HYPERLINK(IFERROR(IF(VLOOKUP($B35,テーブル17[[ソフトウェア]:[脆弱性の影響を受けるバージョンか]],3,0)="〇:影響を受ける",HYPERLINK(VLOOKUP($B35,テーブル13[[ソフトウェア]:[収集情報5]],3,0)),""),""))</f>
        <v/>
      </c>
      <c r="E35" s="170" t="str">
        <f>IFERROR(IF($D35="","",VLOOKUP($B35,テーブル17[[ソフトウェア]:[判定]],15,0)),"")</f>
        <v/>
      </c>
      <c r="F35" s="170" t="str" cm="1">
        <f t="array" ref="F35">IFERROR(_xlfn.IFS(
$E35=緊急度・対応方針設定!$A$24,緊急度・対応方針設定!$B$24,
$E35=緊急度・対応方針設定!$A$25,緊急度・対応方針設定!$B$25,
$E35=緊急度・対応方針設定!$A$26,緊急度・対応方針設定!$B$26,
$E35=緊急度・対応方針設定!$A$27,緊急度・対応方針設定!$B$27,
$E35=緊急度・対応方針設定!$A$28,緊急度・対応方針設定!$B$28,
$C35&lt;&gt;"","随時更新（脆弱性なし）"),"")</f>
        <v/>
      </c>
      <c r="G35" s="170"/>
    </row>
    <row r="36" spans="1:7" ht="27.95" customHeight="1">
      <c r="A36" s="171" t="str" cm="1">
        <f t="array" ref="A36">IFERROR(INDEX(脆弱性関連情報の確認!$A$4:$B$500,MATCH(LARGE((脆弱性関連情報の確認!$J$4:$J$500="○")*1/ROW(バージョン情報の確認!$A$4:$A$500),ROWS(脆弱性対策の適用判断!$A$4:$A36)),1/ROW(脆弱性関連情報の確認!$A$4:$A$500),0),COLUMNS(脆弱性関連情報の確認!$A$1:A$1)),"")</f>
        <v/>
      </c>
      <c r="B36" s="170" t="str" cm="1">
        <f t="array" ref="B36">IFERROR(INDEX(脆弱性関連情報の確認!$A$4:$B$500,MATCH(LARGE((脆弱性関連情報の確認!$J$4:$J$500="○")*1/ROW(バージョン情報の確認!$A$4:$A$500),ROWS(脆弱性対策の適用判断!$A$4:$A36)),1/ROW(脆弱性関連情報の確認!$A$4:$A$500),0),COLUMNS(脆弱性関連情報の確認!$A$1:B$1)),"")</f>
        <v/>
      </c>
      <c r="C36" s="170" t="str">
        <f>IFERROR(IF(VLOOKUP($B36,バージョン情報の確認!$B$4:$G$1048576,3,0)=VLOOKUP($B36,バージョン情報の確認!$B$4:$G$1048576,5,0),"",VLOOKUP($B36,バージョン情報の確認!$B$4:$G$1048576,5,0)),"")</f>
        <v/>
      </c>
      <c r="D36" s="221" t="str">
        <f>HYPERLINK(IFERROR(IF(VLOOKUP($B36,テーブル17[[ソフトウェア]:[脆弱性の影響を受けるバージョンか]],3,0)="〇:影響を受ける",HYPERLINK(VLOOKUP($B36,テーブル13[[ソフトウェア]:[収集情報5]],3,0)),""),""))</f>
        <v/>
      </c>
      <c r="E36" s="170" t="str">
        <f>IFERROR(IF($D36="","",VLOOKUP($B36,テーブル17[[ソフトウェア]:[判定]],15,0)),"")</f>
        <v/>
      </c>
      <c r="F36" s="170" t="str" cm="1">
        <f t="array" ref="F36">IFERROR(_xlfn.IFS(
$E36=緊急度・対応方針設定!$A$24,緊急度・対応方針設定!$B$24,
$E36=緊急度・対応方針設定!$A$25,緊急度・対応方針設定!$B$25,
$E36=緊急度・対応方針設定!$A$26,緊急度・対応方針設定!$B$26,
$E36=緊急度・対応方針設定!$A$27,緊急度・対応方針設定!$B$27,
$E36=緊急度・対応方針設定!$A$28,緊急度・対応方針設定!$B$28,
$C36&lt;&gt;"","随時更新（脆弱性なし）"),"")</f>
        <v/>
      </c>
      <c r="G36" s="170"/>
    </row>
    <row r="37" spans="1:7" ht="27.95" customHeight="1">
      <c r="A37" s="171" t="str" cm="1">
        <f t="array" ref="A37">IFERROR(INDEX(脆弱性関連情報の確認!$A$4:$B$500,MATCH(LARGE((脆弱性関連情報の確認!$J$4:$J$500="○")*1/ROW(バージョン情報の確認!$A$4:$A$500),ROWS(脆弱性対策の適用判断!$A$4:$A37)),1/ROW(脆弱性関連情報の確認!$A$4:$A$500),0),COLUMNS(脆弱性関連情報の確認!$A$1:A$1)),"")</f>
        <v/>
      </c>
      <c r="B37" s="170" t="str" cm="1">
        <f t="array" ref="B37">IFERROR(INDEX(脆弱性関連情報の確認!$A$4:$B$500,MATCH(LARGE((脆弱性関連情報の確認!$J$4:$J$500="○")*1/ROW(バージョン情報の確認!$A$4:$A$500),ROWS(脆弱性対策の適用判断!$A$4:$A37)),1/ROW(脆弱性関連情報の確認!$A$4:$A$500),0),COLUMNS(脆弱性関連情報の確認!$A$1:B$1)),"")</f>
        <v/>
      </c>
      <c r="C37" s="170" t="str">
        <f>IFERROR(IF(VLOOKUP($B37,バージョン情報の確認!$B$4:$G$1048576,3,0)=VLOOKUP($B37,バージョン情報の確認!$B$4:$G$1048576,5,0),"",VLOOKUP($B37,バージョン情報の確認!$B$4:$G$1048576,5,0)),"")</f>
        <v/>
      </c>
      <c r="D37" s="221" t="str">
        <f>HYPERLINK(IFERROR(IF(VLOOKUP($B37,テーブル17[[ソフトウェア]:[脆弱性の影響を受けるバージョンか]],3,0)="〇:影響を受ける",HYPERLINK(VLOOKUP($B37,テーブル13[[ソフトウェア]:[収集情報5]],3,0)),""),""))</f>
        <v/>
      </c>
      <c r="E37" s="170" t="str">
        <f>IFERROR(IF($D37="","",VLOOKUP($B37,テーブル17[[ソフトウェア]:[判定]],15,0)),"")</f>
        <v/>
      </c>
      <c r="F37" s="170" t="str" cm="1">
        <f t="array" ref="F37">IFERROR(_xlfn.IFS(
$E37=緊急度・対応方針設定!$A$24,緊急度・対応方針設定!$B$24,
$E37=緊急度・対応方針設定!$A$25,緊急度・対応方針設定!$B$25,
$E37=緊急度・対応方針設定!$A$26,緊急度・対応方針設定!$B$26,
$E37=緊急度・対応方針設定!$A$27,緊急度・対応方針設定!$B$27,
$E37=緊急度・対応方針設定!$A$28,緊急度・対応方針設定!$B$28,
$C37&lt;&gt;"","随時更新（脆弱性なし）"),"")</f>
        <v/>
      </c>
      <c r="G37" s="170"/>
    </row>
    <row r="38" spans="1:7" ht="27.95" customHeight="1">
      <c r="A38" s="171" t="str" cm="1">
        <f t="array" ref="A38">IFERROR(INDEX(脆弱性関連情報の確認!$A$4:$B$500,MATCH(LARGE((脆弱性関連情報の確認!$J$4:$J$500="○")*1/ROW(バージョン情報の確認!$A$4:$A$500),ROWS(脆弱性対策の適用判断!$A$4:$A38)),1/ROW(脆弱性関連情報の確認!$A$4:$A$500),0),COLUMNS(脆弱性関連情報の確認!$A$1:A$1)),"")</f>
        <v/>
      </c>
      <c r="B38" s="170" t="str" cm="1">
        <f t="array" ref="B38">IFERROR(INDEX(脆弱性関連情報の確認!$A$4:$B$500,MATCH(LARGE((脆弱性関連情報の確認!$J$4:$J$500="○")*1/ROW(バージョン情報の確認!$A$4:$A$500),ROWS(脆弱性対策の適用判断!$A$4:$A38)),1/ROW(脆弱性関連情報の確認!$A$4:$A$500),0),COLUMNS(脆弱性関連情報の確認!$A$1:B$1)),"")</f>
        <v/>
      </c>
      <c r="C38" s="170" t="str">
        <f>IFERROR(IF(VLOOKUP($B38,バージョン情報の確認!$B$4:$G$1048576,3,0)=VLOOKUP($B38,バージョン情報の確認!$B$4:$G$1048576,5,0),"",VLOOKUP($B38,バージョン情報の確認!$B$4:$G$1048576,5,0)),"")</f>
        <v/>
      </c>
      <c r="D38" s="221" t="str">
        <f>HYPERLINK(IFERROR(IF(VLOOKUP($B38,テーブル17[[ソフトウェア]:[脆弱性の影響を受けるバージョンか]],3,0)="〇:影響を受ける",HYPERLINK(VLOOKUP($B38,テーブル13[[ソフトウェア]:[収集情報5]],3,0)),""),""))</f>
        <v/>
      </c>
      <c r="E38" s="170" t="str">
        <f>IFERROR(IF($D38="","",VLOOKUP($B38,テーブル17[[ソフトウェア]:[判定]],15,0)),"")</f>
        <v/>
      </c>
      <c r="F38" s="170" t="str" cm="1">
        <f t="array" ref="F38">IFERROR(_xlfn.IFS(
$E38=緊急度・対応方針設定!$A$24,緊急度・対応方針設定!$B$24,
$E38=緊急度・対応方針設定!$A$25,緊急度・対応方針設定!$B$25,
$E38=緊急度・対応方針設定!$A$26,緊急度・対応方針設定!$B$26,
$E38=緊急度・対応方針設定!$A$27,緊急度・対応方針設定!$B$27,
$E38=緊急度・対応方針設定!$A$28,緊急度・対応方針設定!$B$28,
$C38&lt;&gt;"","随時更新（脆弱性なし）"),"")</f>
        <v/>
      </c>
      <c r="G38" s="170"/>
    </row>
    <row r="39" spans="1:7" ht="27.95" customHeight="1">
      <c r="A39" s="171" t="str" cm="1">
        <f t="array" ref="A39">IFERROR(INDEX(脆弱性関連情報の確認!$A$4:$B$500,MATCH(LARGE((脆弱性関連情報の確認!$J$4:$J$500="○")*1/ROW(バージョン情報の確認!$A$4:$A$500),ROWS(脆弱性対策の適用判断!$A$4:$A39)),1/ROW(脆弱性関連情報の確認!$A$4:$A$500),0),COLUMNS(脆弱性関連情報の確認!$A$1:A$1)),"")</f>
        <v/>
      </c>
      <c r="B39" s="170" t="str" cm="1">
        <f t="array" ref="B39">IFERROR(INDEX(脆弱性関連情報の確認!$A$4:$B$500,MATCH(LARGE((脆弱性関連情報の確認!$J$4:$J$500="○")*1/ROW(バージョン情報の確認!$A$4:$A$500),ROWS(脆弱性対策の適用判断!$A$4:$A39)),1/ROW(脆弱性関連情報の確認!$A$4:$A$500),0),COLUMNS(脆弱性関連情報の確認!$A$1:B$1)),"")</f>
        <v/>
      </c>
      <c r="C39" s="170" t="str">
        <f>IFERROR(IF(VLOOKUP($B39,バージョン情報の確認!$B$4:$G$1048576,3,0)=VLOOKUP($B39,バージョン情報の確認!$B$4:$G$1048576,5,0),"",VLOOKUP($B39,バージョン情報の確認!$B$4:$G$1048576,5,0)),"")</f>
        <v/>
      </c>
      <c r="D39" s="221" t="str">
        <f>HYPERLINK(IFERROR(IF(VLOOKUP($B39,テーブル17[[ソフトウェア]:[脆弱性の影響を受けるバージョンか]],3,0)="〇:影響を受ける",HYPERLINK(VLOOKUP($B39,テーブル13[[ソフトウェア]:[収集情報5]],3,0)),""),""))</f>
        <v/>
      </c>
      <c r="E39" s="170" t="str">
        <f>IFERROR(IF($D39="","",VLOOKUP($B39,テーブル17[[ソフトウェア]:[判定]],15,0)),"")</f>
        <v/>
      </c>
      <c r="F39" s="170" t="str" cm="1">
        <f t="array" ref="F39">IFERROR(_xlfn.IFS(
$E39=緊急度・対応方針設定!$A$24,緊急度・対応方針設定!$B$24,
$E39=緊急度・対応方針設定!$A$25,緊急度・対応方針設定!$B$25,
$E39=緊急度・対応方針設定!$A$26,緊急度・対応方針設定!$B$26,
$E39=緊急度・対応方針設定!$A$27,緊急度・対応方針設定!$B$27,
$E39=緊急度・対応方針設定!$A$28,緊急度・対応方針設定!$B$28,
$C39&lt;&gt;"","随時更新（脆弱性なし）"),"")</f>
        <v/>
      </c>
      <c r="G39" s="170"/>
    </row>
    <row r="40" spans="1:7" ht="27.95" customHeight="1">
      <c r="A40" s="171" t="str" cm="1">
        <f t="array" ref="A40">IFERROR(INDEX(脆弱性関連情報の確認!$A$4:$B$500,MATCH(LARGE((脆弱性関連情報の確認!$J$4:$J$500="○")*1/ROW(バージョン情報の確認!$A$4:$A$500),ROWS(脆弱性対策の適用判断!$A$4:$A40)),1/ROW(脆弱性関連情報の確認!$A$4:$A$500),0),COLUMNS(脆弱性関連情報の確認!$A$1:A$1)),"")</f>
        <v/>
      </c>
      <c r="B40" s="170" t="str" cm="1">
        <f t="array" ref="B40">IFERROR(INDEX(脆弱性関連情報の確認!$A$4:$B$500,MATCH(LARGE((脆弱性関連情報の確認!$J$4:$J$500="○")*1/ROW(バージョン情報の確認!$A$4:$A$500),ROWS(脆弱性対策の適用判断!$A$4:$A40)),1/ROW(脆弱性関連情報の確認!$A$4:$A$500),0),COLUMNS(脆弱性関連情報の確認!$A$1:B$1)),"")</f>
        <v/>
      </c>
      <c r="C40" s="170" t="str">
        <f>IFERROR(IF(VLOOKUP($B40,バージョン情報の確認!$B$4:$G$1048576,3,0)=VLOOKUP($B40,バージョン情報の確認!$B$4:$G$1048576,5,0),"",VLOOKUP($B40,バージョン情報の確認!$B$4:$G$1048576,5,0)),"")</f>
        <v/>
      </c>
      <c r="D40" s="221" t="str">
        <f>HYPERLINK(IFERROR(IF(VLOOKUP($B40,テーブル17[[ソフトウェア]:[脆弱性の影響を受けるバージョンか]],3,0)="〇:影響を受ける",HYPERLINK(VLOOKUP($B40,テーブル13[[ソフトウェア]:[収集情報5]],3,0)),""),""))</f>
        <v/>
      </c>
      <c r="E40" s="170" t="str">
        <f>IFERROR(IF($D40="","",VLOOKUP($B40,テーブル17[[ソフトウェア]:[判定]],15,0)),"")</f>
        <v/>
      </c>
      <c r="F40" s="170" t="str" cm="1">
        <f t="array" ref="F40">IFERROR(_xlfn.IFS(
$E40=緊急度・対応方針設定!$A$24,緊急度・対応方針設定!$B$24,
$E40=緊急度・対応方針設定!$A$25,緊急度・対応方針設定!$B$25,
$E40=緊急度・対応方針設定!$A$26,緊急度・対応方針設定!$B$26,
$E40=緊急度・対応方針設定!$A$27,緊急度・対応方針設定!$B$27,
$E40=緊急度・対応方針設定!$A$28,緊急度・対応方針設定!$B$28,
$C40&lt;&gt;"","随時更新（脆弱性なし）"),"")</f>
        <v/>
      </c>
      <c r="G40" s="170"/>
    </row>
    <row r="41" spans="1:7" ht="27.95" customHeight="1">
      <c r="A41" s="171" t="str" cm="1">
        <f t="array" ref="A41">IFERROR(INDEX(脆弱性関連情報の確認!$A$4:$B$500,MATCH(LARGE((脆弱性関連情報の確認!$J$4:$J$500="○")*1/ROW(バージョン情報の確認!$A$4:$A$500),ROWS(脆弱性対策の適用判断!$A$4:$A41)),1/ROW(脆弱性関連情報の確認!$A$4:$A$500),0),COLUMNS(脆弱性関連情報の確認!$A$1:A$1)),"")</f>
        <v/>
      </c>
      <c r="B41" s="170" t="str" cm="1">
        <f t="array" ref="B41">IFERROR(INDEX(脆弱性関連情報の確認!$A$4:$B$500,MATCH(LARGE((脆弱性関連情報の確認!$J$4:$J$500="○")*1/ROW(バージョン情報の確認!$A$4:$A$500),ROWS(脆弱性対策の適用判断!$A$4:$A41)),1/ROW(脆弱性関連情報の確認!$A$4:$A$500),0),COLUMNS(脆弱性関連情報の確認!$A$1:B$1)),"")</f>
        <v/>
      </c>
      <c r="C41" s="170" t="str">
        <f>IFERROR(IF(VLOOKUP($B41,バージョン情報の確認!$B$4:$G$1048576,3,0)=VLOOKUP($B41,バージョン情報の確認!$B$4:$G$1048576,5,0),"",VLOOKUP($B41,バージョン情報の確認!$B$4:$G$1048576,5,0)),"")</f>
        <v/>
      </c>
      <c r="D41" s="221" t="str">
        <f>HYPERLINK(IFERROR(IF(VLOOKUP($B41,テーブル17[[ソフトウェア]:[脆弱性の影響を受けるバージョンか]],3,0)="〇:影響を受ける",HYPERLINK(VLOOKUP($B41,テーブル13[[ソフトウェア]:[収集情報5]],3,0)),""),""))</f>
        <v/>
      </c>
      <c r="E41" s="170" t="str">
        <f>IFERROR(IF($D41="","",VLOOKUP($B41,テーブル17[[ソフトウェア]:[判定]],15,0)),"")</f>
        <v/>
      </c>
      <c r="F41" s="170" t="str" cm="1">
        <f t="array" ref="F41">IFERROR(_xlfn.IFS(
$E41=緊急度・対応方針設定!$A$24,緊急度・対応方針設定!$B$24,
$E41=緊急度・対応方針設定!$A$25,緊急度・対応方針設定!$B$25,
$E41=緊急度・対応方針設定!$A$26,緊急度・対応方針設定!$B$26,
$E41=緊急度・対応方針設定!$A$27,緊急度・対応方針設定!$B$27,
$E41=緊急度・対応方針設定!$A$28,緊急度・対応方針設定!$B$28,
$C41&lt;&gt;"","随時更新（脆弱性なし）"),"")</f>
        <v/>
      </c>
      <c r="G41" s="170"/>
    </row>
    <row r="42" spans="1:7" ht="27.95" customHeight="1">
      <c r="A42" s="171" t="str" cm="1">
        <f t="array" ref="A42">IFERROR(INDEX(脆弱性関連情報の確認!$A$4:$B$500,MATCH(LARGE((脆弱性関連情報の確認!$J$4:$J$500="○")*1/ROW(バージョン情報の確認!$A$4:$A$500),ROWS(脆弱性対策の適用判断!$A$4:$A42)),1/ROW(脆弱性関連情報の確認!$A$4:$A$500),0),COLUMNS(脆弱性関連情報の確認!$A$1:A$1)),"")</f>
        <v/>
      </c>
      <c r="B42" s="170" t="str" cm="1">
        <f t="array" ref="B42">IFERROR(INDEX(脆弱性関連情報の確認!$A$4:$B$500,MATCH(LARGE((脆弱性関連情報の確認!$J$4:$J$500="○")*1/ROW(バージョン情報の確認!$A$4:$A$500),ROWS(脆弱性対策の適用判断!$A$4:$A42)),1/ROW(脆弱性関連情報の確認!$A$4:$A$500),0),COLUMNS(脆弱性関連情報の確認!$A$1:B$1)),"")</f>
        <v/>
      </c>
      <c r="C42" s="170" t="str">
        <f>IFERROR(IF(VLOOKUP($B42,バージョン情報の確認!$B$4:$G$1048576,3,0)=VLOOKUP($B42,バージョン情報の確認!$B$4:$G$1048576,5,0),"",VLOOKUP($B42,バージョン情報の確認!$B$4:$G$1048576,5,0)),"")</f>
        <v/>
      </c>
      <c r="D42" s="221" t="str">
        <f>HYPERLINK(IFERROR(IF(VLOOKUP($B42,テーブル17[[ソフトウェア]:[脆弱性の影響を受けるバージョンか]],3,0)="〇:影響を受ける",HYPERLINK(VLOOKUP($B42,テーブル13[[ソフトウェア]:[収集情報5]],3,0)),""),""))</f>
        <v/>
      </c>
      <c r="E42" s="170" t="str">
        <f>IFERROR(IF($D42="","",VLOOKUP($B42,テーブル17[[ソフトウェア]:[判定]],15,0)),"")</f>
        <v/>
      </c>
      <c r="F42" s="170" t="str" cm="1">
        <f t="array" ref="F42">IFERROR(_xlfn.IFS(
$E42=緊急度・対応方針設定!$A$24,緊急度・対応方針設定!$B$24,
$E42=緊急度・対応方針設定!$A$25,緊急度・対応方針設定!$B$25,
$E42=緊急度・対応方針設定!$A$26,緊急度・対応方針設定!$B$26,
$E42=緊急度・対応方針設定!$A$27,緊急度・対応方針設定!$B$27,
$E42=緊急度・対応方針設定!$A$28,緊急度・対応方針設定!$B$28,
$C42&lt;&gt;"","随時更新（脆弱性なし）"),"")</f>
        <v/>
      </c>
      <c r="G42" s="170"/>
    </row>
    <row r="43" spans="1:7" ht="27.95" customHeight="1">
      <c r="A43" s="171" t="str" cm="1">
        <f t="array" ref="A43">IFERROR(INDEX(脆弱性関連情報の確認!$A$4:$B$500,MATCH(LARGE((脆弱性関連情報の確認!$J$4:$J$500="○")*1/ROW(バージョン情報の確認!$A$4:$A$500),ROWS(脆弱性対策の適用判断!$A$4:$A43)),1/ROW(脆弱性関連情報の確認!$A$4:$A$500),0),COLUMNS(脆弱性関連情報の確認!$A$1:A$1)),"")</f>
        <v/>
      </c>
      <c r="B43" s="170" t="str" cm="1">
        <f t="array" ref="B43">IFERROR(INDEX(脆弱性関連情報の確認!$A$4:$B$500,MATCH(LARGE((脆弱性関連情報の確認!$J$4:$J$500="○")*1/ROW(バージョン情報の確認!$A$4:$A$500),ROWS(脆弱性対策の適用判断!$A$4:$A43)),1/ROW(脆弱性関連情報の確認!$A$4:$A$500),0),COLUMNS(脆弱性関連情報の確認!$A$1:B$1)),"")</f>
        <v/>
      </c>
      <c r="C43" s="170" t="str">
        <f>IFERROR(IF(VLOOKUP($B43,バージョン情報の確認!$B$4:$G$1048576,3,0)=VLOOKUP($B43,バージョン情報の確認!$B$4:$G$1048576,5,0),"",VLOOKUP($B43,バージョン情報の確認!$B$4:$G$1048576,5,0)),"")</f>
        <v/>
      </c>
      <c r="D43" s="221" t="str">
        <f>HYPERLINK(IFERROR(IF(VLOOKUP($B43,テーブル17[[ソフトウェア]:[脆弱性の影響を受けるバージョンか]],3,0)="〇:影響を受ける",HYPERLINK(VLOOKUP($B43,テーブル13[[ソフトウェア]:[収集情報5]],3,0)),""),""))</f>
        <v/>
      </c>
      <c r="E43" s="170" t="str">
        <f>IFERROR(IF($D43="","",VLOOKUP($B43,テーブル17[[ソフトウェア]:[判定]],15,0)),"")</f>
        <v/>
      </c>
      <c r="F43" s="170" t="str" cm="1">
        <f t="array" ref="F43">IFERROR(_xlfn.IFS(
$E43=緊急度・対応方針設定!$A$24,緊急度・対応方針設定!$B$24,
$E43=緊急度・対応方針設定!$A$25,緊急度・対応方針設定!$B$25,
$E43=緊急度・対応方針設定!$A$26,緊急度・対応方針設定!$B$26,
$E43=緊急度・対応方針設定!$A$27,緊急度・対応方針設定!$B$27,
$E43=緊急度・対応方針設定!$A$28,緊急度・対応方針設定!$B$28,
$C43&lt;&gt;"","随時更新（脆弱性なし）"),"")</f>
        <v/>
      </c>
      <c r="G43" s="170"/>
    </row>
    <row r="44" spans="1:7" ht="27.95" customHeight="1">
      <c r="A44" s="171" t="str" cm="1">
        <f t="array" ref="A44">IFERROR(INDEX(脆弱性関連情報の確認!$A$4:$B$500,MATCH(LARGE((脆弱性関連情報の確認!$J$4:$J$500="○")*1/ROW(バージョン情報の確認!$A$4:$A$500),ROWS(脆弱性対策の適用判断!$A$4:$A44)),1/ROW(脆弱性関連情報の確認!$A$4:$A$500),0),COLUMNS(脆弱性関連情報の確認!$A$1:A$1)),"")</f>
        <v/>
      </c>
      <c r="B44" s="170" t="str" cm="1">
        <f t="array" ref="B44">IFERROR(INDEX(脆弱性関連情報の確認!$A$4:$B$500,MATCH(LARGE((脆弱性関連情報の確認!$J$4:$J$500="○")*1/ROW(バージョン情報の確認!$A$4:$A$500),ROWS(脆弱性対策の適用判断!$A$4:$A44)),1/ROW(脆弱性関連情報の確認!$A$4:$A$500),0),COLUMNS(脆弱性関連情報の確認!$A$1:B$1)),"")</f>
        <v/>
      </c>
      <c r="C44" s="170" t="str">
        <f>IFERROR(IF(VLOOKUP($B44,バージョン情報の確認!$B$4:$G$1048576,3,0)=VLOOKUP($B44,バージョン情報の確認!$B$4:$G$1048576,5,0),"",VLOOKUP($B44,バージョン情報の確認!$B$4:$G$1048576,5,0)),"")</f>
        <v/>
      </c>
      <c r="D44" s="221" t="str">
        <f>HYPERLINK(IFERROR(IF(VLOOKUP($B44,テーブル17[[ソフトウェア]:[脆弱性の影響を受けるバージョンか]],3,0)="〇:影響を受ける",HYPERLINK(VLOOKUP($B44,テーブル13[[ソフトウェア]:[収集情報5]],3,0)),""),""))</f>
        <v/>
      </c>
      <c r="E44" s="170" t="str">
        <f>IFERROR(IF($D44="","",VLOOKUP($B44,テーブル17[[ソフトウェア]:[判定]],15,0)),"")</f>
        <v/>
      </c>
      <c r="F44" s="170" t="str" cm="1">
        <f t="array" ref="F44">IFERROR(_xlfn.IFS(
$E44=緊急度・対応方針設定!$A$24,緊急度・対応方針設定!$B$24,
$E44=緊急度・対応方針設定!$A$25,緊急度・対応方針設定!$B$25,
$E44=緊急度・対応方針設定!$A$26,緊急度・対応方針設定!$B$26,
$E44=緊急度・対応方針設定!$A$27,緊急度・対応方針設定!$B$27,
$E44=緊急度・対応方針設定!$A$28,緊急度・対応方針設定!$B$28,
$C44&lt;&gt;"","随時更新（脆弱性なし）"),"")</f>
        <v/>
      </c>
      <c r="G44" s="170"/>
    </row>
    <row r="45" spans="1:7" ht="27.95" customHeight="1">
      <c r="A45" s="171" t="str" cm="1">
        <f t="array" ref="A45">IFERROR(INDEX(脆弱性関連情報の確認!$A$4:$B$500,MATCH(LARGE((脆弱性関連情報の確認!$J$4:$J$500="○")*1/ROW(バージョン情報の確認!$A$4:$A$500),ROWS(脆弱性対策の適用判断!$A$4:$A45)),1/ROW(脆弱性関連情報の確認!$A$4:$A$500),0),COLUMNS(脆弱性関連情報の確認!$A$1:A$1)),"")</f>
        <v/>
      </c>
      <c r="B45" s="170" t="str" cm="1">
        <f t="array" ref="B45">IFERROR(INDEX(脆弱性関連情報の確認!$A$4:$B$500,MATCH(LARGE((脆弱性関連情報の確認!$J$4:$J$500="○")*1/ROW(バージョン情報の確認!$A$4:$A$500),ROWS(脆弱性対策の適用判断!$A$4:$A45)),1/ROW(脆弱性関連情報の確認!$A$4:$A$500),0),COLUMNS(脆弱性関連情報の確認!$A$1:B$1)),"")</f>
        <v/>
      </c>
      <c r="C45" s="170" t="str">
        <f>IFERROR(IF(VLOOKUP($B45,バージョン情報の確認!$B$4:$G$1048576,3,0)=VLOOKUP($B45,バージョン情報の確認!$B$4:$G$1048576,5,0),"",VLOOKUP($B45,バージョン情報の確認!$B$4:$G$1048576,5,0)),"")</f>
        <v/>
      </c>
      <c r="D45" s="221" t="str">
        <f>HYPERLINK(IFERROR(IF(VLOOKUP($B45,テーブル17[[ソフトウェア]:[脆弱性の影響を受けるバージョンか]],3,0)="〇:影響を受ける",HYPERLINK(VLOOKUP($B45,テーブル13[[ソフトウェア]:[収集情報5]],3,0)),""),""))</f>
        <v/>
      </c>
      <c r="E45" s="170" t="str">
        <f>IFERROR(IF($D45="","",VLOOKUP($B45,テーブル17[[ソフトウェア]:[判定]],15,0)),"")</f>
        <v/>
      </c>
      <c r="F45" s="170" t="str" cm="1">
        <f t="array" ref="F45">IFERROR(_xlfn.IFS(
$E45=緊急度・対応方針設定!$A$24,緊急度・対応方針設定!$B$24,
$E45=緊急度・対応方針設定!$A$25,緊急度・対応方針設定!$B$25,
$E45=緊急度・対応方針設定!$A$26,緊急度・対応方針設定!$B$26,
$E45=緊急度・対応方針設定!$A$27,緊急度・対応方針設定!$B$27,
$E45=緊急度・対応方針設定!$A$28,緊急度・対応方針設定!$B$28,
$C45&lt;&gt;"","随時更新（脆弱性なし）"),"")</f>
        <v/>
      </c>
      <c r="G45" s="170"/>
    </row>
    <row r="46" spans="1:7" ht="27.95" customHeight="1">
      <c r="A46" s="171" t="str" cm="1">
        <f t="array" ref="A46">IFERROR(INDEX(脆弱性関連情報の確認!$A$4:$B$500,MATCH(LARGE((脆弱性関連情報の確認!$J$4:$J$500="○")*1/ROW(バージョン情報の確認!$A$4:$A$500),ROWS(脆弱性対策の適用判断!$A$4:$A46)),1/ROW(脆弱性関連情報の確認!$A$4:$A$500),0),COLUMNS(脆弱性関連情報の確認!$A$1:A$1)),"")</f>
        <v/>
      </c>
      <c r="B46" s="170" t="str" cm="1">
        <f t="array" ref="B46">IFERROR(INDEX(脆弱性関連情報の確認!$A$4:$B$500,MATCH(LARGE((脆弱性関連情報の確認!$J$4:$J$500="○")*1/ROW(バージョン情報の確認!$A$4:$A$500),ROWS(脆弱性対策の適用判断!$A$4:$A46)),1/ROW(脆弱性関連情報の確認!$A$4:$A$500),0),COLUMNS(脆弱性関連情報の確認!$A$1:B$1)),"")</f>
        <v/>
      </c>
      <c r="C46" s="170" t="str">
        <f>IFERROR(IF(VLOOKUP($B46,バージョン情報の確認!$B$4:$G$1048576,3,0)=VLOOKUP($B46,バージョン情報の確認!$B$4:$G$1048576,5,0),"",VLOOKUP($B46,バージョン情報の確認!$B$4:$G$1048576,5,0)),"")</f>
        <v/>
      </c>
      <c r="D46" s="221" t="str">
        <f>HYPERLINK(IFERROR(IF(VLOOKUP($B46,テーブル17[[ソフトウェア]:[脆弱性の影響を受けるバージョンか]],3,0)="〇:影響を受ける",HYPERLINK(VLOOKUP($B46,テーブル13[[ソフトウェア]:[収集情報5]],3,0)),""),""))</f>
        <v/>
      </c>
      <c r="E46" s="170" t="str">
        <f>IFERROR(IF($D46="","",VLOOKUP($B46,テーブル17[[ソフトウェア]:[判定]],15,0)),"")</f>
        <v/>
      </c>
      <c r="F46" s="170" t="str" cm="1">
        <f t="array" ref="F46">IFERROR(_xlfn.IFS(
$E46=緊急度・対応方針設定!$A$24,緊急度・対応方針設定!$B$24,
$E46=緊急度・対応方針設定!$A$25,緊急度・対応方針設定!$B$25,
$E46=緊急度・対応方針設定!$A$26,緊急度・対応方針設定!$B$26,
$E46=緊急度・対応方針設定!$A$27,緊急度・対応方針設定!$B$27,
$E46=緊急度・対応方針設定!$A$28,緊急度・対応方針設定!$B$28,
$C46&lt;&gt;"","随時更新（脆弱性なし）"),"")</f>
        <v/>
      </c>
      <c r="G46" s="170"/>
    </row>
    <row r="47" spans="1:7" ht="27.95" customHeight="1">
      <c r="A47" s="171" t="str" cm="1">
        <f t="array" ref="A47">IFERROR(INDEX(脆弱性関連情報の確認!$A$4:$B$500,MATCH(LARGE((脆弱性関連情報の確認!$J$4:$J$500="○")*1/ROW(バージョン情報の確認!$A$4:$A$500),ROWS(脆弱性対策の適用判断!$A$4:$A47)),1/ROW(脆弱性関連情報の確認!$A$4:$A$500),0),COLUMNS(脆弱性関連情報の確認!$A$1:A$1)),"")</f>
        <v/>
      </c>
      <c r="B47" s="170" t="str" cm="1">
        <f t="array" ref="B47">IFERROR(INDEX(脆弱性関連情報の確認!$A$4:$B$500,MATCH(LARGE((脆弱性関連情報の確認!$J$4:$J$500="○")*1/ROW(バージョン情報の確認!$A$4:$A$500),ROWS(脆弱性対策の適用判断!$A$4:$A47)),1/ROW(脆弱性関連情報の確認!$A$4:$A$500),0),COLUMNS(脆弱性関連情報の確認!$A$1:B$1)),"")</f>
        <v/>
      </c>
      <c r="C47" s="170" t="str">
        <f>IFERROR(IF(VLOOKUP($B47,バージョン情報の確認!$B$4:$G$1048576,3,0)=VLOOKUP($B47,バージョン情報の確認!$B$4:$G$1048576,5,0),"",VLOOKUP($B47,バージョン情報の確認!$B$4:$G$1048576,5,0)),"")</f>
        <v/>
      </c>
      <c r="D47" s="221" t="str">
        <f>HYPERLINK(IFERROR(IF(VLOOKUP($B47,テーブル17[[ソフトウェア]:[脆弱性の影響を受けるバージョンか]],3,0)="〇:影響を受ける",HYPERLINK(VLOOKUP($B47,テーブル13[[ソフトウェア]:[収集情報5]],3,0)),""),""))</f>
        <v/>
      </c>
      <c r="E47" s="170" t="str">
        <f>IFERROR(IF($D47="","",VLOOKUP($B47,テーブル17[[ソフトウェア]:[判定]],15,0)),"")</f>
        <v/>
      </c>
      <c r="F47" s="170" t="str" cm="1">
        <f t="array" ref="F47">IFERROR(_xlfn.IFS(
$E47=緊急度・対応方針設定!$A$24,緊急度・対応方針設定!$B$24,
$E47=緊急度・対応方針設定!$A$25,緊急度・対応方針設定!$B$25,
$E47=緊急度・対応方針設定!$A$26,緊急度・対応方針設定!$B$26,
$E47=緊急度・対応方針設定!$A$27,緊急度・対応方針設定!$B$27,
$E47=緊急度・対応方針設定!$A$28,緊急度・対応方針設定!$B$28,
$C47&lt;&gt;"","随時更新（脆弱性なし）"),"")</f>
        <v/>
      </c>
      <c r="G47" s="170"/>
    </row>
    <row r="48" spans="1:7" ht="27.95" customHeight="1">
      <c r="A48" s="171" t="str" cm="1">
        <f t="array" ref="A48">IFERROR(INDEX(脆弱性関連情報の確認!$A$4:$B$500,MATCH(LARGE((脆弱性関連情報の確認!$J$4:$J$500="○")*1/ROW(バージョン情報の確認!$A$4:$A$500),ROWS(脆弱性対策の適用判断!$A$4:$A48)),1/ROW(脆弱性関連情報の確認!$A$4:$A$500),0),COLUMNS(脆弱性関連情報の確認!$A$1:A$1)),"")</f>
        <v/>
      </c>
      <c r="B48" s="170" t="str" cm="1">
        <f t="array" ref="B48">IFERROR(INDEX(脆弱性関連情報の確認!$A$4:$B$500,MATCH(LARGE((脆弱性関連情報の確認!$J$4:$J$500="○")*1/ROW(バージョン情報の確認!$A$4:$A$500),ROWS(脆弱性対策の適用判断!$A$4:$A48)),1/ROW(脆弱性関連情報の確認!$A$4:$A$500),0),COLUMNS(脆弱性関連情報の確認!$A$1:B$1)),"")</f>
        <v/>
      </c>
      <c r="C48" s="170" t="str">
        <f>IFERROR(IF(VLOOKUP($B48,バージョン情報の確認!$B$4:$G$1048576,3,0)=VLOOKUP($B48,バージョン情報の確認!$B$4:$G$1048576,5,0),"",VLOOKUP($B48,バージョン情報の確認!$B$4:$G$1048576,5,0)),"")</f>
        <v/>
      </c>
      <c r="D48" s="221" t="str">
        <f>HYPERLINK(IFERROR(IF(VLOOKUP($B48,テーブル17[[ソフトウェア]:[脆弱性の影響を受けるバージョンか]],3,0)="〇:影響を受ける",HYPERLINK(VLOOKUP($B48,テーブル13[[ソフトウェア]:[収集情報5]],3,0)),""),""))</f>
        <v/>
      </c>
      <c r="E48" s="170" t="str">
        <f>IFERROR(IF($D48="","",VLOOKUP($B48,テーブル17[[ソフトウェア]:[判定]],15,0)),"")</f>
        <v/>
      </c>
      <c r="F48" s="170" t="str" cm="1">
        <f t="array" ref="F48">IFERROR(_xlfn.IFS(
$E48=緊急度・対応方針設定!$A$24,緊急度・対応方針設定!$B$24,
$E48=緊急度・対応方針設定!$A$25,緊急度・対応方針設定!$B$25,
$E48=緊急度・対応方針設定!$A$26,緊急度・対応方針設定!$B$26,
$E48=緊急度・対応方針設定!$A$27,緊急度・対応方針設定!$B$27,
$E48=緊急度・対応方針設定!$A$28,緊急度・対応方針設定!$B$28,
$C48&lt;&gt;"","随時更新（脆弱性なし）"),"")</f>
        <v/>
      </c>
      <c r="G48" s="170"/>
    </row>
    <row r="49" spans="1:7" ht="27.95" customHeight="1">
      <c r="A49" s="171" t="str" cm="1">
        <f t="array" ref="A49">IFERROR(INDEX(脆弱性関連情報の確認!$A$4:$B$500,MATCH(LARGE((脆弱性関連情報の確認!$J$4:$J$500="○")*1/ROW(バージョン情報の確認!$A$4:$A$500),ROWS(脆弱性対策の適用判断!$A$4:$A49)),1/ROW(脆弱性関連情報の確認!$A$4:$A$500),0),COLUMNS(脆弱性関連情報の確認!$A$1:A$1)),"")</f>
        <v/>
      </c>
      <c r="B49" s="170" t="str" cm="1">
        <f t="array" ref="B49">IFERROR(INDEX(脆弱性関連情報の確認!$A$4:$B$500,MATCH(LARGE((脆弱性関連情報の確認!$J$4:$J$500="○")*1/ROW(バージョン情報の確認!$A$4:$A$500),ROWS(脆弱性対策の適用判断!$A$4:$A49)),1/ROW(脆弱性関連情報の確認!$A$4:$A$500),0),COLUMNS(脆弱性関連情報の確認!$A$1:B$1)),"")</f>
        <v/>
      </c>
      <c r="C49" s="170" t="str">
        <f>IFERROR(IF(VLOOKUP($B49,バージョン情報の確認!$B$4:$G$1048576,3,0)=VLOOKUP($B49,バージョン情報の確認!$B$4:$G$1048576,5,0),"",VLOOKUP($B49,バージョン情報の確認!$B$4:$G$1048576,5,0)),"")</f>
        <v/>
      </c>
      <c r="D49" s="221" t="str">
        <f>HYPERLINK(IFERROR(IF(VLOOKUP($B49,テーブル17[[ソフトウェア]:[脆弱性の影響を受けるバージョンか]],3,0)="〇:影響を受ける",HYPERLINK(VLOOKUP($B49,テーブル13[[ソフトウェア]:[収集情報5]],3,0)),""),""))</f>
        <v/>
      </c>
      <c r="E49" s="170" t="str">
        <f>IFERROR(IF($D49="","",VLOOKUP($B49,テーブル17[[ソフトウェア]:[判定]],15,0)),"")</f>
        <v/>
      </c>
      <c r="F49" s="170" t="str" cm="1">
        <f t="array" ref="F49">IFERROR(_xlfn.IFS(
$E49=緊急度・対応方針設定!$A$24,緊急度・対応方針設定!$B$24,
$E49=緊急度・対応方針設定!$A$25,緊急度・対応方針設定!$B$25,
$E49=緊急度・対応方針設定!$A$26,緊急度・対応方針設定!$B$26,
$E49=緊急度・対応方針設定!$A$27,緊急度・対応方針設定!$B$27,
$E49=緊急度・対応方針設定!$A$28,緊急度・対応方針設定!$B$28,
$C49&lt;&gt;"","随時更新（脆弱性なし）"),"")</f>
        <v/>
      </c>
      <c r="G49" s="170"/>
    </row>
    <row r="50" spans="1:7" ht="27.95" customHeight="1">
      <c r="A50" s="171" t="str" cm="1">
        <f t="array" ref="A50">IFERROR(INDEX(脆弱性関連情報の確認!$A$4:$B$500,MATCH(LARGE((脆弱性関連情報の確認!$J$4:$J$500="○")*1/ROW(バージョン情報の確認!$A$4:$A$500),ROWS(脆弱性対策の適用判断!$A$4:$A50)),1/ROW(脆弱性関連情報の確認!$A$4:$A$500),0),COLUMNS(脆弱性関連情報の確認!$A$1:A$1)),"")</f>
        <v/>
      </c>
      <c r="B50" s="170" t="str" cm="1">
        <f t="array" ref="B50">IFERROR(INDEX(脆弱性関連情報の確認!$A$4:$B$500,MATCH(LARGE((脆弱性関連情報の確認!$J$4:$J$500="○")*1/ROW(バージョン情報の確認!$A$4:$A$500),ROWS(脆弱性対策の適用判断!$A$4:$A50)),1/ROW(脆弱性関連情報の確認!$A$4:$A$500),0),COLUMNS(脆弱性関連情報の確認!$A$1:B$1)),"")</f>
        <v/>
      </c>
      <c r="C50" s="170" t="str">
        <f>IFERROR(IF(VLOOKUP($B50,バージョン情報の確認!$B$4:$G$1048576,3,0)=VLOOKUP($B50,バージョン情報の確認!$B$4:$G$1048576,5,0),"",VLOOKUP($B50,バージョン情報の確認!$B$4:$G$1048576,5,0)),"")</f>
        <v/>
      </c>
      <c r="D50" s="221" t="str">
        <f>HYPERLINK(IFERROR(IF(VLOOKUP($B50,テーブル17[[ソフトウェア]:[脆弱性の影響を受けるバージョンか]],3,0)="〇:影響を受ける",HYPERLINK(VLOOKUP($B50,テーブル13[[ソフトウェア]:[収集情報5]],3,0)),""),""))</f>
        <v/>
      </c>
      <c r="E50" s="170" t="str">
        <f>IFERROR(IF($D50="","",VLOOKUP($B50,テーブル17[[ソフトウェア]:[判定]],15,0)),"")</f>
        <v/>
      </c>
      <c r="F50" s="170" t="str" cm="1">
        <f t="array" ref="F50">IFERROR(_xlfn.IFS(
$E50=緊急度・対応方針設定!$A$24,緊急度・対応方針設定!$B$24,
$E50=緊急度・対応方針設定!$A$25,緊急度・対応方針設定!$B$25,
$E50=緊急度・対応方針設定!$A$26,緊急度・対応方針設定!$B$26,
$E50=緊急度・対応方針設定!$A$27,緊急度・対応方針設定!$B$27,
$E50=緊急度・対応方針設定!$A$28,緊急度・対応方針設定!$B$28,
$C50&lt;&gt;"","随時更新（脆弱性なし）"),"")</f>
        <v/>
      </c>
      <c r="G50" s="170"/>
    </row>
    <row r="51" spans="1:7" ht="27.95" customHeight="1">
      <c r="A51" s="171" t="str" cm="1">
        <f t="array" ref="A51">IFERROR(INDEX(脆弱性関連情報の確認!$A$4:$B$500,MATCH(LARGE((脆弱性関連情報の確認!$J$4:$J$500="○")*1/ROW(バージョン情報の確認!$A$4:$A$500),ROWS(脆弱性対策の適用判断!$A$4:$A51)),1/ROW(脆弱性関連情報の確認!$A$4:$A$500),0),COLUMNS(脆弱性関連情報の確認!$A$1:A$1)),"")</f>
        <v/>
      </c>
      <c r="B51" s="170" t="str" cm="1">
        <f t="array" ref="B51">IFERROR(INDEX(脆弱性関連情報の確認!$A$4:$B$500,MATCH(LARGE((脆弱性関連情報の確認!$J$4:$J$500="○")*1/ROW(バージョン情報の確認!$A$4:$A$500),ROWS(脆弱性対策の適用判断!$A$4:$A51)),1/ROW(脆弱性関連情報の確認!$A$4:$A$500),0),COLUMNS(脆弱性関連情報の確認!$A$1:B$1)),"")</f>
        <v/>
      </c>
      <c r="C51" s="170" t="str">
        <f>IFERROR(IF(VLOOKUP($B51,バージョン情報の確認!$B$4:$G$1048576,3,0)=VLOOKUP($B51,バージョン情報の確認!$B$4:$G$1048576,5,0),"",VLOOKUP($B51,バージョン情報の確認!$B$4:$G$1048576,5,0)),"")</f>
        <v/>
      </c>
      <c r="D51" s="221" t="str">
        <f>HYPERLINK(IFERROR(IF(VLOOKUP($B51,テーブル17[[ソフトウェア]:[脆弱性の影響を受けるバージョンか]],3,0)="〇:影響を受ける",HYPERLINK(VLOOKUP($B51,テーブル13[[ソフトウェア]:[収集情報5]],3,0)),""),""))</f>
        <v/>
      </c>
      <c r="E51" s="170" t="str">
        <f>IFERROR(IF($D51="","",VLOOKUP($B51,テーブル17[[ソフトウェア]:[判定]],15,0)),"")</f>
        <v/>
      </c>
      <c r="F51" s="170" t="str" cm="1">
        <f t="array" ref="F51">IFERROR(_xlfn.IFS(
$E51=緊急度・対応方針設定!$A$24,緊急度・対応方針設定!$B$24,
$E51=緊急度・対応方針設定!$A$25,緊急度・対応方針設定!$B$25,
$E51=緊急度・対応方針設定!$A$26,緊急度・対応方針設定!$B$26,
$E51=緊急度・対応方針設定!$A$27,緊急度・対応方針設定!$B$27,
$E51=緊急度・対応方針設定!$A$28,緊急度・対応方針設定!$B$28,
$C51&lt;&gt;"","随時更新（脆弱性なし）"),"")</f>
        <v/>
      </c>
      <c r="G51" s="170"/>
    </row>
    <row r="52" spans="1:7" ht="27.95" customHeight="1">
      <c r="A52" s="171" t="str" cm="1">
        <f t="array" ref="A52">IFERROR(INDEX(脆弱性関連情報の確認!$A$4:$B$500,MATCH(LARGE((脆弱性関連情報の確認!$J$4:$J$500="○")*1/ROW(バージョン情報の確認!$A$4:$A$500),ROWS(脆弱性対策の適用判断!$A$4:$A52)),1/ROW(脆弱性関連情報の確認!$A$4:$A$500),0),COLUMNS(脆弱性関連情報の確認!$A$1:A$1)),"")</f>
        <v/>
      </c>
      <c r="B52" s="170" t="str" cm="1">
        <f t="array" ref="B52">IFERROR(INDEX(脆弱性関連情報の確認!$A$4:$B$500,MATCH(LARGE((脆弱性関連情報の確認!$J$4:$J$500="○")*1/ROW(バージョン情報の確認!$A$4:$A$500),ROWS(脆弱性対策の適用判断!$A$4:$A52)),1/ROW(脆弱性関連情報の確認!$A$4:$A$500),0),COLUMNS(脆弱性関連情報の確認!$A$1:B$1)),"")</f>
        <v/>
      </c>
      <c r="C52" s="170" t="str">
        <f>IFERROR(IF(VLOOKUP($B52,バージョン情報の確認!$B$4:$G$1048576,3,0)=VLOOKUP($B52,バージョン情報の確認!$B$4:$G$1048576,5,0),"",VLOOKUP($B52,バージョン情報の確認!$B$4:$G$1048576,5,0)),"")</f>
        <v/>
      </c>
      <c r="D52" s="221" t="str">
        <f>HYPERLINK(IFERROR(IF(VLOOKUP($B52,テーブル17[[ソフトウェア]:[脆弱性の影響を受けるバージョンか]],3,0)="〇:影響を受ける",HYPERLINK(VLOOKUP($B52,テーブル13[[ソフトウェア]:[収集情報5]],3,0)),""),""))</f>
        <v/>
      </c>
      <c r="E52" s="170" t="str">
        <f>IFERROR(IF($D52="","",VLOOKUP($B52,テーブル17[[ソフトウェア]:[判定]],15,0)),"")</f>
        <v/>
      </c>
      <c r="F52" s="170" t="str" cm="1">
        <f t="array" ref="F52">IFERROR(_xlfn.IFS(
$E52=緊急度・対応方針設定!$A$24,緊急度・対応方針設定!$B$24,
$E52=緊急度・対応方針設定!$A$25,緊急度・対応方針設定!$B$25,
$E52=緊急度・対応方針設定!$A$26,緊急度・対応方針設定!$B$26,
$E52=緊急度・対応方針設定!$A$27,緊急度・対応方針設定!$B$27,
$E52=緊急度・対応方針設定!$A$28,緊急度・対応方針設定!$B$28,
$C52&lt;&gt;"","随時更新（脆弱性なし）"),"")</f>
        <v/>
      </c>
      <c r="G52" s="170"/>
    </row>
    <row r="53" spans="1:7" ht="27.95" customHeight="1">
      <c r="A53" s="171" t="str" cm="1">
        <f t="array" ref="A53">IFERROR(INDEX(脆弱性関連情報の確認!$A$4:$B$500,MATCH(LARGE((脆弱性関連情報の確認!$J$4:$J$500="○")*1/ROW(バージョン情報の確認!$A$4:$A$500),ROWS(脆弱性対策の適用判断!$A$4:$A53)),1/ROW(脆弱性関連情報の確認!$A$4:$A$500),0),COLUMNS(脆弱性関連情報の確認!$A$1:A$1)),"")</f>
        <v/>
      </c>
      <c r="B53" s="170" t="str" cm="1">
        <f t="array" ref="B53">IFERROR(INDEX(脆弱性関連情報の確認!$A$4:$B$500,MATCH(LARGE((脆弱性関連情報の確認!$J$4:$J$500="○")*1/ROW(バージョン情報の確認!$A$4:$A$500),ROWS(脆弱性対策の適用判断!$A$4:$A53)),1/ROW(脆弱性関連情報の確認!$A$4:$A$500),0),COLUMNS(脆弱性関連情報の確認!$A$1:B$1)),"")</f>
        <v/>
      </c>
      <c r="C53" s="170" t="str">
        <f>IFERROR(IF(VLOOKUP($B53,バージョン情報の確認!$B$4:$G$1048576,3,0)=VLOOKUP($B53,バージョン情報の確認!$B$4:$G$1048576,5,0),"",VLOOKUP($B53,バージョン情報の確認!$B$4:$G$1048576,5,0)),"")</f>
        <v/>
      </c>
      <c r="D53" s="221" t="str">
        <f>HYPERLINK(IFERROR(IF(VLOOKUP($B53,テーブル17[[ソフトウェア]:[脆弱性の影響を受けるバージョンか]],3,0)="〇:影響を受ける",HYPERLINK(VLOOKUP($B53,テーブル13[[ソフトウェア]:[収集情報5]],3,0)),""),""))</f>
        <v/>
      </c>
      <c r="E53" s="170" t="str">
        <f>IFERROR(IF($D53="","",VLOOKUP($B53,テーブル17[[ソフトウェア]:[判定]],15,0)),"")</f>
        <v/>
      </c>
      <c r="F53" s="170" t="str" cm="1">
        <f t="array" ref="F53">IFERROR(_xlfn.IFS(
$E53=緊急度・対応方針設定!$A$24,緊急度・対応方針設定!$B$24,
$E53=緊急度・対応方針設定!$A$25,緊急度・対応方針設定!$B$25,
$E53=緊急度・対応方針設定!$A$26,緊急度・対応方針設定!$B$26,
$E53=緊急度・対応方針設定!$A$27,緊急度・対応方針設定!$B$27,
$E53=緊急度・対応方針設定!$A$28,緊急度・対応方針設定!$B$28,
$C53&lt;&gt;"","随時更新（脆弱性なし）"),"")</f>
        <v/>
      </c>
      <c r="G53" s="170"/>
    </row>
  </sheetData>
  <phoneticPr fontId="1"/>
  <conditionalFormatting sqref="F4:F1048576">
    <cfRule type="expression" dxfId="11" priority="2">
      <formula>COUNTIF($F4,"*日以内に実施")</formula>
    </cfRule>
  </conditionalFormatting>
  <pageMargins left="0.70866141732283472" right="0.70866141732283472" top="0.74803149606299213" bottom="0.74803149606299213" header="0.31496062992125984" footer="0.31496062992125984"/>
  <pageSetup paperSize="8" scale="71" orientation="portrait" errors="blank" r:id="rId1"/>
  <headerFooter>
    <oddHeader>&amp;Lソフトウェア脆弱性管理台帳</oddHeader>
    <oddFooter>&amp;C&amp;P ページ</oddFooter>
  </headerFooter>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33" id="{7D3515D8-9198-4A9D-A0D5-A09E7C79D4EC}">
            <xm:f>VLOOKUP($B4,脆弱性の影響度確認!$B$6:$P$500,3,0)="〇:影響を受ける"</xm:f>
            <x14:dxf>
              <fill>
                <patternFill>
                  <bgColor theme="5" tint="0.79998168889431442"/>
                </patternFill>
              </fill>
            </x14:dxf>
          </x14:cfRule>
          <xm:sqref>A4:G1048576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xr:uid="{51AA1D2D-E39F-4D32-A9A7-FE966BAFBB88}">
          <x14:formula1>
            <xm:f>OFFSET(緊急度・対応方針設定!$B$31,,,COUNTA(緊急度・対応方針設定!$B$31:$B$40))</xm:f>
          </x14:formula1>
          <xm:sqref>G4:G53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A360412-F395-46BC-9396-79EE152D401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ソフトウェア脆弱性関連情報管理シートについて</vt:lpstr>
      <vt:lpstr>よく使われるソフトウェア一覧</vt:lpstr>
      <vt:lpstr>よく使われる収集先一覧</vt:lpstr>
      <vt:lpstr>緊急度・対応方針設定</vt:lpstr>
      <vt:lpstr>利用しているソフトウェア一覧</vt:lpstr>
      <vt:lpstr>バージョン情報の確認</vt:lpstr>
      <vt:lpstr>脆弱性関連情報の確認</vt:lpstr>
      <vt:lpstr>脆弱性の影響度確認</vt:lpstr>
      <vt:lpstr>脆弱性対策の適用判断</vt:lpstr>
      <vt:lpstr>ソフトウェア脆弱性関連情報管理シートについて!Print_Area</vt:lpstr>
      <vt:lpstr>よく使われるソフトウェア一覧!Print_Area</vt:lpstr>
      <vt:lpstr>よく使われる収集先一覧!Print_Area</vt:lpstr>
      <vt:lpstr>緊急度・対応方針設定!Print_Area</vt:lpstr>
      <vt:lpstr>脆弱性の影響度確認!Print_Area</vt:lpstr>
      <vt:lpstr>バージョン情報の確認!Print_Titles</vt:lpstr>
      <vt:lpstr>脆弱性の影響度確認!Print_Titles</vt:lpstr>
      <vt:lpstr>脆弱性関連情報の確認!Print_Titles</vt:lpstr>
      <vt:lpstr>脆弱性対策の適用判断!Print_Titles</vt:lpstr>
      <vt:lpstr>利用しているソフトウェア一覧!Print_Titles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2020-09-25T05:42:43Z</cp:lastPrinted>
  <dcterms:created xsi:type="dcterms:W3CDTF">2019-06-20T08:05:12Z</dcterms:created>
  <dcterms:modified xsi:type="dcterms:W3CDTF">2020-09-28T06:11:26Z</dcterms:modified>
</cp:coreProperties>
</file>