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2.xml" ContentType="application/vnd.openxmlformats-officedocument.spreadsheetml.tab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24996470-0091-411D-B391-87793DA8098E}" xr6:coauthVersionLast="47" xr6:coauthVersionMax="47" xr10:uidLastSave="{00000000-0000-0000-0000-000000000000}"/>
  <bookViews>
    <workbookView xWindow="2910" yWindow="390" windowWidth="24420" windowHeight="14610" firstSheet="1" activeTab="1" xr2:uid="{946E474B-9D51-45B8-89C5-EECBCD270D0C}"/>
  </bookViews>
  <sheets>
    <sheet name="リスト" sheetId="7" state="hidden" r:id="rId1"/>
    <sheet name="表紙" sheetId="40" r:id="rId2"/>
    <sheet name="はじめに" sheetId="39" r:id="rId3"/>
    <sheet name="3-1．機能システム一覧 " sheetId="28" r:id="rId4"/>
    <sheet name="3-2．評価結果　総合評価" sheetId="27" r:id="rId5"/>
    <sheet name="3-1．機能システム一覧 (記入例)" sheetId="20" r:id="rId6"/>
    <sheet name="3-2．評価結果　総合評価 (記入例)" sheetId="21" r:id="rId7"/>
    <sheet name="利用許諾" sheetId="44" r:id="rId8"/>
    <sheet name="改版履歴" sheetId="4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V14" i="28" l="1"/>
  <c r="P2" i="27" s="1"/>
  <c r="AU14" i="28"/>
  <c r="O2" i="27" s="1"/>
  <c r="AT14" i="28"/>
  <c r="N2" i="27" s="1"/>
  <c r="AS14" i="28"/>
  <c r="M2" i="27" s="1"/>
  <c r="AR14" i="28"/>
  <c r="L2" i="27" s="1"/>
  <c r="AQ14" i="28"/>
  <c r="K2" i="27" s="1"/>
  <c r="BC12" i="28"/>
  <c r="BB12" i="28"/>
  <c r="BA12" i="28"/>
  <c r="AZ12" i="28"/>
  <c r="AY12" i="28"/>
  <c r="AX12" i="28"/>
  <c r="BD12" i="28" s="1"/>
  <c r="AW12" i="28"/>
  <c r="AO12" i="28"/>
  <c r="AN12" i="28"/>
  <c r="AM12" i="28"/>
  <c r="AL12" i="28"/>
  <c r="AK12" i="28"/>
  <c r="AJ12" i="28"/>
  <c r="AI12" i="28"/>
  <c r="AA12" i="28"/>
  <c r="BC11" i="28"/>
  <c r="BB11" i="28"/>
  <c r="BA11" i="28"/>
  <c r="AZ11" i="28"/>
  <c r="AY11" i="28"/>
  <c r="AX11" i="28"/>
  <c r="AW11" i="28"/>
  <c r="AO11" i="28"/>
  <c r="AN11" i="28"/>
  <c r="AM11" i="28"/>
  <c r="AL11" i="28"/>
  <c r="AK11" i="28"/>
  <c r="AJ11" i="28"/>
  <c r="AI11" i="28"/>
  <c r="AA11" i="28"/>
  <c r="BC10" i="28"/>
  <c r="BB10" i="28"/>
  <c r="BA10" i="28"/>
  <c r="AZ10" i="28"/>
  <c r="AY10" i="28"/>
  <c r="AX10" i="28"/>
  <c r="AW10" i="28"/>
  <c r="AO10" i="28"/>
  <c r="AN10" i="28"/>
  <c r="AM10" i="28"/>
  <c r="AL10" i="28"/>
  <c r="AK10" i="28"/>
  <c r="AJ10" i="28"/>
  <c r="AI10" i="28"/>
  <c r="AA10" i="28"/>
  <c r="BC9" i="28"/>
  <c r="BB9" i="28"/>
  <c r="BA9" i="28"/>
  <c r="AZ9" i="28"/>
  <c r="AY9" i="28"/>
  <c r="AX9" i="28"/>
  <c r="AW9" i="28"/>
  <c r="AO9" i="28"/>
  <c r="AN9" i="28"/>
  <c r="AM9" i="28"/>
  <c r="AL9" i="28"/>
  <c r="AK9" i="28"/>
  <c r="AJ9" i="28"/>
  <c r="AP9" i="28" s="1"/>
  <c r="AI9" i="28"/>
  <c r="AA9" i="28"/>
  <c r="BC8" i="28"/>
  <c r="BB8" i="28"/>
  <c r="BA8" i="28"/>
  <c r="AZ8" i="28"/>
  <c r="AY8" i="28"/>
  <c r="AX8" i="28"/>
  <c r="BD8" i="28" s="1"/>
  <c r="AW8" i="28"/>
  <c r="AO8" i="28"/>
  <c r="AN8" i="28"/>
  <c r="AM8" i="28"/>
  <c r="AL8" i="28"/>
  <c r="AK8" i="28"/>
  <c r="AJ8" i="28"/>
  <c r="AI8" i="28"/>
  <c r="AA8" i="28"/>
  <c r="BC7" i="28"/>
  <c r="BB7" i="28"/>
  <c r="BA7" i="28"/>
  <c r="AZ7" i="28"/>
  <c r="AY7" i="28"/>
  <c r="AX7" i="28"/>
  <c r="AW7" i="28"/>
  <c r="AO7" i="28"/>
  <c r="AN7" i="28"/>
  <c r="AM7" i="28"/>
  <c r="AL7" i="28"/>
  <c r="AK7" i="28"/>
  <c r="AJ7" i="28"/>
  <c r="AI7" i="28"/>
  <c r="AA7" i="28"/>
  <c r="BC6" i="28"/>
  <c r="BB6" i="28"/>
  <c r="BA6" i="28"/>
  <c r="AZ6" i="28"/>
  <c r="AY6" i="28"/>
  <c r="AX6" i="28"/>
  <c r="BD6" i="28" s="1"/>
  <c r="AW6" i="28"/>
  <c r="AO6" i="28"/>
  <c r="AN6" i="28"/>
  <c r="AM6" i="28"/>
  <c r="AL6" i="28"/>
  <c r="AK6" i="28"/>
  <c r="AJ6" i="28"/>
  <c r="AI6" i="28"/>
  <c r="AA6" i="28"/>
  <c r="BC5" i="28"/>
  <c r="BC14" i="28" s="1"/>
  <c r="BB5" i="28"/>
  <c r="BA5" i="28"/>
  <c r="BA14" i="28" s="1"/>
  <c r="AZ5" i="28"/>
  <c r="AY5" i="28"/>
  <c r="AY14" i="28" s="1"/>
  <c r="AX5" i="28"/>
  <c r="AW5" i="28"/>
  <c r="AO5" i="28"/>
  <c r="AN5" i="28"/>
  <c r="AM5" i="28"/>
  <c r="AL5" i="28"/>
  <c r="AK5" i="28"/>
  <c r="AJ5" i="28"/>
  <c r="AI5" i="28"/>
  <c r="AA5" i="28"/>
  <c r="BD10" i="28" l="1"/>
  <c r="BD7" i="28"/>
  <c r="AP6" i="28"/>
  <c r="AW14" i="28"/>
  <c r="AX14" i="28"/>
  <c r="BE7" i="28" s="1"/>
  <c r="AZ14" i="28"/>
  <c r="BG6" i="28" s="1"/>
  <c r="BB14" i="28"/>
  <c r="BI5" i="28" s="1"/>
  <c r="BD9" i="28"/>
  <c r="BD11" i="28"/>
  <c r="AP12" i="28"/>
  <c r="BE5" i="28"/>
  <c r="BF9" i="28"/>
  <c r="BF6" i="28"/>
  <c r="BF11" i="28"/>
  <c r="BF10" i="28"/>
  <c r="BF8" i="28"/>
  <c r="BF7" i="28"/>
  <c r="BF5" i="28"/>
  <c r="BH9" i="28"/>
  <c r="BH6" i="28"/>
  <c r="BH11" i="28"/>
  <c r="BH10" i="28"/>
  <c r="BH8" i="28"/>
  <c r="BH7" i="28"/>
  <c r="BH5" i="28"/>
  <c r="BJ9" i="28"/>
  <c r="BJ6" i="28"/>
  <c r="BJ11" i="28"/>
  <c r="BJ10" i="28"/>
  <c r="BJ8" i="28"/>
  <c r="BJ7" i="28"/>
  <c r="BJ5" i="28"/>
  <c r="BI7" i="28"/>
  <c r="BG11" i="28"/>
  <c r="BF12" i="28"/>
  <c r="BH12" i="28"/>
  <c r="BJ12" i="28"/>
  <c r="AP5" i="28"/>
  <c r="BD5" i="28"/>
  <c r="AP7" i="28"/>
  <c r="AP8" i="28"/>
  <c r="AP10" i="28"/>
  <c r="AP11" i="28"/>
  <c r="I7" i="27"/>
  <c r="H7" i="27" s="1"/>
  <c r="I6" i="27"/>
  <c r="I5" i="27"/>
  <c r="I4" i="27"/>
  <c r="I3" i="27"/>
  <c r="I2" i="27"/>
  <c r="F1" i="27"/>
  <c r="D1" i="27"/>
  <c r="BE6" i="28" l="1"/>
  <c r="H5" i="27"/>
  <c r="BI8" i="28"/>
  <c r="BE12" i="28"/>
  <c r="BI10" i="28"/>
  <c r="BI6" i="28"/>
  <c r="BI11" i="28"/>
  <c r="BE11" i="28"/>
  <c r="H2" i="27"/>
  <c r="I9" i="27"/>
  <c r="BE9" i="28"/>
  <c r="BI12" i="28"/>
  <c r="BE10" i="28"/>
  <c r="BE8" i="28"/>
  <c r="BI9" i="28"/>
  <c r="BG12" i="28"/>
  <c r="BG10" i="28"/>
  <c r="BG8" i="28"/>
  <c r="BG9" i="28"/>
  <c r="BG7" i="28"/>
  <c r="BJ14" i="28"/>
  <c r="P3" i="27" s="1"/>
  <c r="G7" i="27" s="1"/>
  <c r="F7" i="27" s="1"/>
  <c r="D7" i="27" s="1"/>
  <c r="BF14" i="28"/>
  <c r="L3" i="27" s="1"/>
  <c r="G3" i="27" s="1"/>
  <c r="E3" i="27" s="1"/>
  <c r="BG5" i="28"/>
  <c r="BH14" i="28"/>
  <c r="N3" i="27" s="1"/>
  <c r="G5" i="27" s="1"/>
  <c r="BE14" i="28"/>
  <c r="K3" i="27" s="1"/>
  <c r="G2" i="27" s="1"/>
  <c r="E2" i="27" s="1"/>
  <c r="BD14" i="28"/>
  <c r="I10" i="27"/>
  <c r="I8" i="27"/>
  <c r="E5" i="27" l="1"/>
  <c r="E7" i="27"/>
  <c r="BI14" i="28"/>
  <c r="O3" i="27" s="1"/>
  <c r="G6" i="27" s="1"/>
  <c r="BG14" i="28"/>
  <c r="M3" i="27" s="1"/>
  <c r="G4" i="27" s="1"/>
  <c r="BM6" i="28"/>
  <c r="BM8" i="28"/>
  <c r="BM10" i="28"/>
  <c r="BK6" i="28"/>
  <c r="BL6" i="28" s="1"/>
  <c r="BM7" i="28"/>
  <c r="BM9" i="28"/>
  <c r="BM11" i="28"/>
  <c r="BK9" i="28"/>
  <c r="BL9" i="28" s="1"/>
  <c r="BM12" i="28"/>
  <c r="BK12" i="28"/>
  <c r="BL12" i="28" s="1"/>
  <c r="BM5" i="28"/>
  <c r="BK11" i="28"/>
  <c r="BL11" i="28" s="1"/>
  <c r="BK5" i="28"/>
  <c r="BK10" i="28"/>
  <c r="BL10" i="28" s="1"/>
  <c r="BK7" i="28"/>
  <c r="BL7" i="28" s="1"/>
  <c r="BK8" i="28"/>
  <c r="BL8" i="28" s="1"/>
  <c r="E4" i="27" l="1"/>
  <c r="G8" i="27"/>
  <c r="G10" i="27"/>
  <c r="F2" i="27"/>
  <c r="D2" i="27" s="1"/>
  <c r="E6" i="27"/>
  <c r="G9" i="27"/>
  <c r="F5" i="27"/>
  <c r="D5" i="27" s="1"/>
  <c r="BM14" i="28"/>
  <c r="BK14" i="28"/>
  <c r="BL5" i="28"/>
  <c r="BL14" i="28" s="1"/>
  <c r="F1" i="21" l="1"/>
  <c r="D1" i="21"/>
  <c r="AV14" i="20"/>
  <c r="AU14" i="20"/>
  <c r="AT14" i="20"/>
  <c r="AS14" i="20"/>
  <c r="AR14" i="20"/>
  <c r="AQ14" i="20"/>
  <c r="BC12" i="20"/>
  <c r="BB12" i="20"/>
  <c r="BA12" i="20"/>
  <c r="AZ12" i="20"/>
  <c r="AY12" i="20"/>
  <c r="AX12" i="20"/>
  <c r="BD12" i="20" s="1"/>
  <c r="AW12" i="20"/>
  <c r="AO12" i="20"/>
  <c r="AN12" i="20"/>
  <c r="AM12" i="20"/>
  <c r="AL12" i="20"/>
  <c r="AK12" i="20"/>
  <c r="AJ12" i="20"/>
  <c r="AI12" i="20"/>
  <c r="AA12" i="20"/>
  <c r="BC11" i="20"/>
  <c r="BB11" i="20"/>
  <c r="BA11" i="20"/>
  <c r="AZ11" i="20"/>
  <c r="AY11" i="20"/>
  <c r="AX11" i="20"/>
  <c r="AW11" i="20"/>
  <c r="AO11" i="20"/>
  <c r="AN11" i="20"/>
  <c r="AM11" i="20"/>
  <c r="AL11" i="20"/>
  <c r="AK11" i="20"/>
  <c r="AJ11" i="20"/>
  <c r="AI11" i="20"/>
  <c r="AA11" i="20"/>
  <c r="BC10" i="20"/>
  <c r="BB10" i="20"/>
  <c r="BA10" i="20"/>
  <c r="AZ10" i="20"/>
  <c r="AY10" i="20"/>
  <c r="AX10" i="20"/>
  <c r="AW10" i="20"/>
  <c r="AO10" i="20"/>
  <c r="AN10" i="20"/>
  <c r="AM10" i="20"/>
  <c r="AL10" i="20"/>
  <c r="AK10" i="20"/>
  <c r="AJ10" i="20"/>
  <c r="AP10" i="20" s="1"/>
  <c r="AI10" i="20"/>
  <c r="AA10" i="20"/>
  <c r="BC9" i="20"/>
  <c r="BB9" i="20"/>
  <c r="BA9" i="20"/>
  <c r="AZ9" i="20"/>
  <c r="AY9" i="20"/>
  <c r="AX9" i="20"/>
  <c r="AW9" i="20"/>
  <c r="AO9" i="20"/>
  <c r="AN9" i="20"/>
  <c r="AM9" i="20"/>
  <c r="AL9" i="20"/>
  <c r="AK9" i="20"/>
  <c r="AJ9" i="20"/>
  <c r="AI9" i="20"/>
  <c r="AA9" i="20"/>
  <c r="BC8" i="20"/>
  <c r="BB8" i="20"/>
  <c r="BA8" i="20"/>
  <c r="AZ8" i="20"/>
  <c r="AY8" i="20"/>
  <c r="AX8" i="20"/>
  <c r="AW8" i="20"/>
  <c r="AO8" i="20"/>
  <c r="AN8" i="20"/>
  <c r="AM8" i="20"/>
  <c r="AL8" i="20"/>
  <c r="AK8" i="20"/>
  <c r="AJ8" i="20"/>
  <c r="AP8" i="20" s="1"/>
  <c r="AI8" i="20"/>
  <c r="AA8" i="20"/>
  <c r="BC7" i="20"/>
  <c r="BB7" i="20"/>
  <c r="BA7" i="20"/>
  <c r="AZ7" i="20"/>
  <c r="AY7" i="20"/>
  <c r="AX7" i="20"/>
  <c r="BD7" i="20" s="1"/>
  <c r="AW7" i="20"/>
  <c r="AO7" i="20"/>
  <c r="AN7" i="20"/>
  <c r="AM7" i="20"/>
  <c r="AL7" i="20"/>
  <c r="AK7" i="20"/>
  <c r="AJ7" i="20"/>
  <c r="AI7" i="20"/>
  <c r="AA7" i="20"/>
  <c r="BC6" i="20"/>
  <c r="BB6" i="20"/>
  <c r="BA6" i="20"/>
  <c r="AZ6" i="20"/>
  <c r="AY6" i="20"/>
  <c r="AX6" i="20"/>
  <c r="AW6" i="20"/>
  <c r="AO6" i="20"/>
  <c r="AN6" i="20"/>
  <c r="AM6" i="20"/>
  <c r="AL6" i="20"/>
  <c r="AK6" i="20"/>
  <c r="AJ6" i="20"/>
  <c r="AI6" i="20"/>
  <c r="AA6" i="20"/>
  <c r="BC5" i="20"/>
  <c r="BB5" i="20"/>
  <c r="BB14" i="20" s="1"/>
  <c r="BA5" i="20"/>
  <c r="AZ5" i="20"/>
  <c r="AZ14" i="20" s="1"/>
  <c r="BG6" i="20" s="1"/>
  <c r="AY5" i="20"/>
  <c r="AX5" i="20"/>
  <c r="BD5" i="20" s="1"/>
  <c r="AW5" i="20"/>
  <c r="AO5" i="20"/>
  <c r="AN5" i="20"/>
  <c r="AM5" i="20"/>
  <c r="AL5" i="20"/>
  <c r="AK5" i="20"/>
  <c r="AJ5" i="20"/>
  <c r="AI5" i="20"/>
  <c r="AA5" i="20"/>
  <c r="BF5" i="20" l="1"/>
  <c r="BJ5" i="20"/>
  <c r="BJ7" i="20"/>
  <c r="AY14" i="20"/>
  <c r="BA14" i="20"/>
  <c r="BH5" i="20" s="1"/>
  <c r="BC14" i="20"/>
  <c r="BF6" i="20"/>
  <c r="BJ6" i="20"/>
  <c r="BD6" i="20"/>
  <c r="AP9" i="20"/>
  <c r="AP11" i="20"/>
  <c r="BF7" i="20"/>
  <c r="BI12" i="20"/>
  <c r="BI5" i="20"/>
  <c r="BI8" i="20"/>
  <c r="BG10" i="20"/>
  <c r="BI10" i="20"/>
  <c r="BG5" i="20"/>
  <c r="BG7" i="20"/>
  <c r="BG9" i="20"/>
  <c r="BI9" i="20"/>
  <c r="BG11" i="20"/>
  <c r="BI11" i="20"/>
  <c r="BG8" i="20"/>
  <c r="BG12" i="20"/>
  <c r="AP12" i="20"/>
  <c r="K2" i="21"/>
  <c r="I2" i="21" s="1"/>
  <c r="M2" i="21"/>
  <c r="I4" i="21" s="1"/>
  <c r="O2" i="21"/>
  <c r="I6" i="21" s="1"/>
  <c r="AX14" i="20"/>
  <c r="BE9" i="20" s="1"/>
  <c r="AP5" i="20"/>
  <c r="AP6" i="20"/>
  <c r="BI6" i="20"/>
  <c r="AP7" i="20"/>
  <c r="BI7" i="20"/>
  <c r="BI14" i="20" s="1"/>
  <c r="O3" i="21" s="1"/>
  <c r="G6" i="21" s="1"/>
  <c r="BF8" i="20"/>
  <c r="BH8" i="20"/>
  <c r="BJ8" i="20"/>
  <c r="BD8" i="20"/>
  <c r="BE8" i="20"/>
  <c r="BF9" i="20"/>
  <c r="BH9" i="20"/>
  <c r="BJ9" i="20"/>
  <c r="BD9" i="20"/>
  <c r="BF10" i="20"/>
  <c r="BH10" i="20"/>
  <c r="BJ10" i="20"/>
  <c r="BD10" i="20"/>
  <c r="BE10" i="20"/>
  <c r="BF11" i="20"/>
  <c r="BH11" i="20"/>
  <c r="BJ11" i="20"/>
  <c r="BD11" i="20"/>
  <c r="BF12" i="20"/>
  <c r="BH12" i="20"/>
  <c r="BJ12" i="20"/>
  <c r="L2" i="21"/>
  <c r="I3" i="21" s="1"/>
  <c r="N2" i="21"/>
  <c r="I5" i="21" s="1"/>
  <c r="P2" i="21"/>
  <c r="I7" i="21" s="1"/>
  <c r="BE6" i="20"/>
  <c r="AW14" i="20"/>
  <c r="BD14" i="20"/>
  <c r="BM11" i="20" s="1"/>
  <c r="BE11" i="20" l="1"/>
  <c r="BF14" i="20"/>
  <c r="L3" i="21" s="1"/>
  <c r="G3" i="21" s="1"/>
  <c r="BH6" i="20"/>
  <c r="BH7" i="20"/>
  <c r="BH14" i="20" s="1"/>
  <c r="N3" i="21" s="1"/>
  <c r="G5" i="21" s="1"/>
  <c r="BJ14" i="20"/>
  <c r="P3" i="21" s="1"/>
  <c r="G7" i="21" s="1"/>
  <c r="F7" i="21" s="1"/>
  <c r="E7" i="21"/>
  <c r="H7" i="21"/>
  <c r="D7" i="21" s="1"/>
  <c r="H5" i="21"/>
  <c r="I9" i="21"/>
  <c r="E3" i="21"/>
  <c r="BE12" i="20"/>
  <c r="BE5" i="20"/>
  <c r="BE7" i="20"/>
  <c r="BG14" i="20"/>
  <c r="M3" i="21" s="1"/>
  <c r="G4" i="21" s="1"/>
  <c r="E6" i="21"/>
  <c r="E4" i="21"/>
  <c r="I10" i="21"/>
  <c r="H2" i="21"/>
  <c r="I8" i="21"/>
  <c r="BK11" i="20"/>
  <c r="BL11" i="20" s="1"/>
  <c r="BK7" i="20"/>
  <c r="BL7" i="20" s="1"/>
  <c r="BM9" i="20"/>
  <c r="BK9" i="20"/>
  <c r="BL9" i="20" s="1"/>
  <c r="BK5" i="20"/>
  <c r="BL5" i="20" s="1"/>
  <c r="BM7" i="20"/>
  <c r="BM6" i="20"/>
  <c r="BK12" i="20"/>
  <c r="BL12" i="20" s="1"/>
  <c r="BK10" i="20"/>
  <c r="BL10" i="20" s="1"/>
  <c r="BK8" i="20"/>
  <c r="BL8" i="20" s="1"/>
  <c r="BK6" i="20"/>
  <c r="BL6" i="20" s="1"/>
  <c r="BM10" i="20"/>
  <c r="BM8" i="20"/>
  <c r="BM5" i="20"/>
  <c r="BM12" i="20"/>
  <c r="G9" i="21" l="1"/>
  <c r="E5" i="21"/>
  <c r="F5" i="21"/>
  <c r="BE14" i="20"/>
  <c r="K3" i="21" s="1"/>
  <c r="G2" i="21" s="1"/>
  <c r="D5" i="21"/>
  <c r="BL14" i="20"/>
  <c r="BM14" i="20"/>
  <c r="BK14" i="20"/>
  <c r="G10" i="21" l="1"/>
  <c r="F2" i="21"/>
  <c r="D2" i="21" s="1"/>
  <c r="E2" i="21"/>
  <c r="G8" i="21"/>
</calcChain>
</file>

<file path=xl/sharedStrings.xml><?xml version="1.0" encoding="utf-8"?>
<sst xmlns="http://schemas.openxmlformats.org/spreadsheetml/2006/main" count="389" uniqueCount="194">
  <si>
    <t>－</t>
    <phoneticPr fontId="7"/>
  </si>
  <si>
    <t>分類</t>
    <rPh sb="0" eb="2">
      <t>ブンルイ</t>
    </rPh>
    <phoneticPr fontId="7"/>
  </si>
  <si>
    <t>配点</t>
    <rPh sb="0" eb="2">
      <t>ハイテン</t>
    </rPh>
    <phoneticPr fontId="7"/>
  </si>
  <si>
    <t>DX対応に求められる要件</t>
    <phoneticPr fontId="7"/>
  </si>
  <si>
    <t>データ活用性</t>
    <rPh sb="3" eb="6">
      <t>カツヨウセイ</t>
    </rPh>
    <phoneticPr fontId="7"/>
  </si>
  <si>
    <t>アジリティ</t>
    <phoneticPr fontId="7"/>
  </si>
  <si>
    <t>スピード</t>
    <phoneticPr fontId="7"/>
  </si>
  <si>
    <t>基礎的な要件</t>
    <phoneticPr fontId="7"/>
  </si>
  <si>
    <t>利用品質</t>
    <rPh sb="0" eb="2">
      <t>リヨウ</t>
    </rPh>
    <rPh sb="2" eb="4">
      <t>ヒンシツ</t>
    </rPh>
    <phoneticPr fontId="7"/>
  </si>
  <si>
    <t>開発品質</t>
    <rPh sb="0" eb="2">
      <t>カイハツ</t>
    </rPh>
    <rPh sb="2" eb="4">
      <t>ヒンシツ</t>
    </rPh>
    <phoneticPr fontId="7"/>
  </si>
  <si>
    <t>IT資産の健全性</t>
    <rPh sb="2" eb="4">
      <t>シサン</t>
    </rPh>
    <rPh sb="5" eb="8">
      <t>ケンゼンセイ</t>
    </rPh>
    <phoneticPr fontId="7"/>
  </si>
  <si>
    <t>小計（ＤＸ）</t>
    <rPh sb="0" eb="2">
      <t>ショウケイ</t>
    </rPh>
    <phoneticPr fontId="7"/>
  </si>
  <si>
    <t>小計（基礎）</t>
    <rPh sb="0" eb="2">
      <t>ショウケイ</t>
    </rPh>
    <rPh sb="3" eb="5">
      <t>キソ</t>
    </rPh>
    <phoneticPr fontId="7"/>
  </si>
  <si>
    <t>合計</t>
    <rPh sb="0" eb="2">
      <t>ゴウケイ</t>
    </rPh>
    <phoneticPr fontId="7"/>
  </si>
  <si>
    <t>重み</t>
    <rPh sb="0" eb="1">
      <t>オモ</t>
    </rPh>
    <phoneticPr fontId="7"/>
  </si>
  <si>
    <t>列1</t>
  </si>
  <si>
    <t>点数</t>
    <rPh sb="0" eb="2">
      <t>テンスウ</t>
    </rPh>
    <phoneticPr fontId="7"/>
  </si>
  <si>
    <t>回答（実施状況）</t>
  </si>
  <si>
    <t>回答（効果）</t>
  </si>
  <si>
    <t>機能システム一覧</t>
    <rPh sb="0" eb="2">
      <t>キノウ</t>
    </rPh>
    <rPh sb="6" eb="8">
      <t>イチラン</t>
    </rPh>
    <phoneticPr fontId="7"/>
  </si>
  <si>
    <t>事前記入項目</t>
    <rPh sb="0" eb="2">
      <t>ジゼン</t>
    </rPh>
    <rPh sb="2" eb="4">
      <t>キニュウ</t>
    </rPh>
    <rPh sb="4" eb="6">
      <t>コウモク</t>
    </rPh>
    <phoneticPr fontId="7"/>
  </si>
  <si>
    <t>属性項目</t>
    <rPh sb="0" eb="2">
      <t>ゾクセイ</t>
    </rPh>
    <rPh sb="2" eb="4">
      <t>コウモク</t>
    </rPh>
    <phoneticPr fontId="7"/>
  </si>
  <si>
    <t>評価結果</t>
    <rPh sb="0" eb="2">
      <t>ヒョウカ</t>
    </rPh>
    <rPh sb="2" eb="4">
      <t>ケッカ</t>
    </rPh>
    <phoneticPr fontId="7"/>
  </si>
  <si>
    <t>点数×重み</t>
    <rPh sb="0" eb="2">
      <t>テンスウ</t>
    </rPh>
    <rPh sb="3" eb="4">
      <t>オモ</t>
    </rPh>
    <phoneticPr fontId="7"/>
  </si>
  <si>
    <t>配点×重み</t>
    <rPh sb="0" eb="2">
      <t>ハイテン</t>
    </rPh>
    <rPh sb="3" eb="4">
      <t>オモ</t>
    </rPh>
    <phoneticPr fontId="7"/>
  </si>
  <si>
    <t>機能システム名</t>
  </si>
  <si>
    <t>主管事業部門</t>
    <rPh sb="0" eb="2">
      <t>シュカン</t>
    </rPh>
    <rPh sb="2" eb="4">
      <t>ジギョウ</t>
    </rPh>
    <rPh sb="4" eb="6">
      <t>ブモン</t>
    </rPh>
    <phoneticPr fontId="7"/>
  </si>
  <si>
    <t>主管IT部門</t>
    <rPh sb="0" eb="2">
      <t>シュカン</t>
    </rPh>
    <rPh sb="4" eb="6">
      <t>ブモン</t>
    </rPh>
    <phoneticPr fontId="7"/>
  </si>
  <si>
    <t>構成要素
（サブシステム名）</t>
    <phoneticPr fontId="7"/>
  </si>
  <si>
    <t>開発言語・規模</t>
  </si>
  <si>
    <t>開発環境・ツール</t>
    <phoneticPr fontId="7"/>
  </si>
  <si>
    <t>利用している外部サービス
（クラウドサービス他）</t>
    <phoneticPr fontId="7"/>
  </si>
  <si>
    <t>ITシステム導入時期</t>
  </si>
  <si>
    <t>競争領域／非競争領域</t>
    <rPh sb="0" eb="2">
      <t>キョウソウ</t>
    </rPh>
    <rPh sb="2" eb="4">
      <t>リョウイキ</t>
    </rPh>
    <rPh sb="5" eb="6">
      <t>ヒ</t>
    </rPh>
    <rPh sb="6" eb="8">
      <t>キョウソウ</t>
    </rPh>
    <rPh sb="8" eb="10">
      <t>リョウイキ</t>
    </rPh>
    <phoneticPr fontId="7"/>
  </si>
  <si>
    <t>事業上の重要性</t>
    <rPh sb="0" eb="3">
      <t>ジギョウジョウ</t>
    </rPh>
    <rPh sb="4" eb="6">
      <t>ジュウヨウ</t>
    </rPh>
    <rPh sb="6" eb="7">
      <t>セイ</t>
    </rPh>
    <phoneticPr fontId="7"/>
  </si>
  <si>
    <t>ダウンタイム許容度</t>
    <rPh sb="6" eb="9">
      <t>キョヨウド</t>
    </rPh>
    <phoneticPr fontId="7"/>
  </si>
  <si>
    <t>顧客影響度</t>
    <rPh sb="0" eb="2">
      <t>コキャク</t>
    </rPh>
    <rPh sb="2" eb="5">
      <t>エイキョウド</t>
    </rPh>
    <phoneticPr fontId="7"/>
  </si>
  <si>
    <t>社会影響度</t>
    <rPh sb="0" eb="2">
      <t>シャカイ</t>
    </rPh>
    <rPh sb="2" eb="5">
      <t>エイキョウド</t>
    </rPh>
    <phoneticPr fontId="7"/>
  </si>
  <si>
    <t>IT費用</t>
    <rPh sb="2" eb="4">
      <t>ヒヨウ</t>
    </rPh>
    <phoneticPr fontId="7"/>
  </si>
  <si>
    <t>IT担当人数</t>
    <rPh sb="2" eb="4">
      <t>タントウ</t>
    </rPh>
    <rPh sb="4" eb="6">
      <t>ニンズウ</t>
    </rPh>
    <phoneticPr fontId="7"/>
  </si>
  <si>
    <t>事業担当人数</t>
    <rPh sb="0" eb="2">
      <t>ジギョウタントウ2</t>
    </rPh>
    <phoneticPr fontId="7"/>
  </si>
  <si>
    <t>内製化率</t>
    <rPh sb="0" eb="3">
      <t>ナイセイカ</t>
    </rPh>
    <rPh sb="3" eb="4">
      <t>リツ</t>
    </rPh>
    <phoneticPr fontId="7"/>
  </si>
  <si>
    <t>活用データ</t>
    <rPh sb="0" eb="2">
      <t>カツヨウ</t>
    </rPh>
    <phoneticPr fontId="7"/>
  </si>
  <si>
    <t>期間あたりの変更回数</t>
    <rPh sb="0" eb="2">
      <t>キカン</t>
    </rPh>
    <rPh sb="6" eb="8">
      <t>ヘンコウ</t>
    </rPh>
    <rPh sb="8" eb="10">
      <t>カイスウ</t>
    </rPh>
    <phoneticPr fontId="7"/>
  </si>
  <si>
    <t>列2</t>
  </si>
  <si>
    <t>点数（IT資産）</t>
    <rPh sb="0" eb="2">
      <t>テンスウ</t>
    </rPh>
    <rPh sb="5" eb="7">
      <t>シサン</t>
    </rPh>
    <phoneticPr fontId="7"/>
  </si>
  <si>
    <t>点数（IT資産）×重み</t>
    <rPh sb="0" eb="2">
      <t>テンスウシサン4</t>
    </rPh>
    <phoneticPr fontId="7"/>
  </si>
  <si>
    <t>配点（IT資産）</t>
    <rPh sb="0" eb="2">
      <t>ハイテン</t>
    </rPh>
    <rPh sb="5" eb="7">
      <t>シサン</t>
    </rPh>
    <phoneticPr fontId="7"/>
  </si>
  <si>
    <t>配点×重み</t>
    <rPh sb="0" eb="2">
      <t>ハイテンオモ5</t>
    </rPh>
    <phoneticPr fontId="7"/>
  </si>
  <si>
    <t>点数（IT資産）　変換後</t>
    <rPh sb="0" eb="2">
      <t>テンスウシサン44</t>
    </rPh>
    <phoneticPr fontId="7"/>
  </si>
  <si>
    <t>配点比</t>
    <rPh sb="0" eb="2">
      <t>ハイテン</t>
    </rPh>
    <rPh sb="2" eb="3">
      <t>ヒ</t>
    </rPh>
    <phoneticPr fontId="7"/>
  </si>
  <si>
    <t>Aシステム</t>
    <phoneticPr fontId="7"/>
  </si>
  <si>
    <t>顧客向け商品の紹介・販売・ニーズ収集</t>
    <phoneticPr fontId="7"/>
  </si>
  <si>
    <t>リテール事業部</t>
    <rPh sb="4" eb="6">
      <t>ジギョウ</t>
    </rPh>
    <rPh sb="6" eb="7">
      <t>ブ</t>
    </rPh>
    <phoneticPr fontId="7"/>
  </si>
  <si>
    <t>ITサービス部</t>
    <rPh sb="6" eb="7">
      <t>ブ</t>
    </rPh>
    <phoneticPr fontId="7"/>
  </si>
  <si>
    <t>＜省略＞</t>
    <rPh sb="1" eb="3">
      <t>ショウリャク</t>
    </rPh>
    <phoneticPr fontId="7"/>
  </si>
  <si>
    <t>Python　10Kライン</t>
    <phoneticPr fontId="7"/>
  </si>
  <si>
    <t>GitHub</t>
    <phoneticPr fontId="7"/>
  </si>
  <si>
    <t>競争領域</t>
    <rPh sb="0" eb="4">
      <t>キョウソウリョウイキ</t>
    </rPh>
    <phoneticPr fontId="7"/>
  </si>
  <si>
    <t>重要</t>
    <rPh sb="0" eb="2">
      <t>ジュウヨウ</t>
    </rPh>
    <phoneticPr fontId="7"/>
  </si>
  <si>
    <t>H</t>
  </si>
  <si>
    <t>M</t>
  </si>
  <si>
    <t>顧客データ、購入履歴データ</t>
    <rPh sb="6" eb="8">
      <t>コウニュウ</t>
    </rPh>
    <rPh sb="8" eb="10">
      <t>リレキ</t>
    </rPh>
    <phoneticPr fontId="7"/>
  </si>
  <si>
    <t>1回／週</t>
    <rPh sb="1" eb="2">
      <t>カイ</t>
    </rPh>
    <rPh sb="3" eb="4">
      <t>シュウ</t>
    </rPh>
    <phoneticPr fontId="7"/>
  </si>
  <si>
    <t>Bシステム</t>
    <phoneticPr fontId="7"/>
  </si>
  <si>
    <t>営業支援、顧客関係管理など</t>
    <phoneticPr fontId="7"/>
  </si>
  <si>
    <t>営業本部</t>
    <rPh sb="0" eb="2">
      <t>エイギョウ</t>
    </rPh>
    <rPh sb="2" eb="4">
      <t>ホンブ</t>
    </rPh>
    <phoneticPr fontId="7"/>
  </si>
  <si>
    <t>Java　50Kライン、C++　15Kライン</t>
    <phoneticPr fontId="7"/>
  </si>
  <si>
    <t>Visual Studio</t>
    <phoneticPr fontId="7"/>
  </si>
  <si>
    <t>非競争領域</t>
    <rPh sb="0" eb="5">
      <t>ヒキョウソウリョウイキ</t>
    </rPh>
    <phoneticPr fontId="7"/>
  </si>
  <si>
    <t>M</t>
    <phoneticPr fontId="7"/>
  </si>
  <si>
    <t>プロスペクトデータ、顧客ニーズデータ</t>
    <rPh sb="10" eb="12">
      <t>コキャク</t>
    </rPh>
    <phoneticPr fontId="7"/>
  </si>
  <si>
    <t>2回／年</t>
    <rPh sb="1" eb="2">
      <t>カイ</t>
    </rPh>
    <rPh sb="3" eb="4">
      <t>ネン</t>
    </rPh>
    <phoneticPr fontId="7"/>
  </si>
  <si>
    <t>Cシステム</t>
    <phoneticPr fontId="7"/>
  </si>
  <si>
    <t>社員用メール、予定表、会議室予約</t>
    <phoneticPr fontId="7"/>
  </si>
  <si>
    <t>総務部</t>
    <rPh sb="0" eb="2">
      <t>ソウム</t>
    </rPh>
    <rPh sb="2" eb="3">
      <t>ブ</t>
    </rPh>
    <phoneticPr fontId="7"/>
  </si>
  <si>
    <t>SaaS利用（Office365）</t>
    <rPh sb="4" eb="6">
      <t>リヨウ</t>
    </rPh>
    <phoneticPr fontId="7"/>
  </si>
  <si>
    <t>L</t>
    <phoneticPr fontId="7"/>
  </si>
  <si>
    <t>なし</t>
    <phoneticPr fontId="7"/>
  </si>
  <si>
    <t>4回／年</t>
    <rPh sb="1" eb="2">
      <t>カイ</t>
    </rPh>
    <rPh sb="3" eb="4">
      <t>ネン</t>
    </rPh>
    <phoneticPr fontId="7"/>
  </si>
  <si>
    <t>Dシステム</t>
    <phoneticPr fontId="7"/>
  </si>
  <si>
    <t>やや重要</t>
    <rPh sb="2" eb="4">
      <t>ジュウヨウ</t>
    </rPh>
    <phoneticPr fontId="7"/>
  </si>
  <si>
    <t>L</t>
  </si>
  <si>
    <t>Eシステム</t>
    <phoneticPr fontId="7"/>
  </si>
  <si>
    <t>Fシステム</t>
    <phoneticPr fontId="7"/>
  </si>
  <si>
    <t>Gシステム</t>
    <phoneticPr fontId="7"/>
  </si>
  <si>
    <t>重要でない</t>
    <rPh sb="0" eb="2">
      <t>ジュウヨウ</t>
    </rPh>
    <phoneticPr fontId="7"/>
  </si>
  <si>
    <t>Hシステム</t>
    <phoneticPr fontId="7"/>
  </si>
  <si>
    <t>…</t>
    <phoneticPr fontId="7"/>
  </si>
  <si>
    <t>…</t>
  </si>
  <si>
    <t>H</t>
    <phoneticPr fontId="7"/>
  </si>
  <si>
    <t>割合（%）</t>
    <rPh sb="0" eb="2">
      <t>ワリアイ</t>
    </rPh>
    <phoneticPr fontId="7"/>
  </si>
  <si>
    <t>影響度合計値</t>
    <rPh sb="0" eb="3">
      <t>エイキョウド</t>
    </rPh>
    <rPh sb="3" eb="6">
      <t>ゴウケイチ</t>
    </rPh>
    <phoneticPr fontId="7"/>
  </si>
  <si>
    <t>ITシステム全体</t>
    <rPh sb="6" eb="8">
      <t>ゼンタイ</t>
    </rPh>
    <phoneticPr fontId="7"/>
  </si>
  <si>
    <t>点数（アジリティ）</t>
    <rPh sb="0" eb="2">
      <t>テンスウ</t>
    </rPh>
    <phoneticPr fontId="7"/>
  </si>
  <si>
    <t>点数（スピード）</t>
    <rPh sb="0" eb="2">
      <t>テンスウ</t>
    </rPh>
    <phoneticPr fontId="7"/>
  </si>
  <si>
    <t>点数（利用品質）</t>
    <rPh sb="0" eb="2">
      <t>テンスウ</t>
    </rPh>
    <rPh sb="3" eb="5">
      <t>リヨウ</t>
    </rPh>
    <rPh sb="5" eb="7">
      <t>ヒンシツ</t>
    </rPh>
    <phoneticPr fontId="7"/>
  </si>
  <si>
    <t>点数（開発品質）</t>
    <rPh sb="0" eb="2">
      <t>テンスウカイハツ2</t>
    </rPh>
    <phoneticPr fontId="7"/>
  </si>
  <si>
    <t>点数（データ活用性）</t>
    <rPh sb="0" eb="2">
      <t>テンスウ</t>
    </rPh>
    <rPh sb="6" eb="8">
      <t>カツヨウ</t>
    </rPh>
    <rPh sb="8" eb="9">
      <t>セイ</t>
    </rPh>
    <phoneticPr fontId="7"/>
  </si>
  <si>
    <t>点数（データ活用性）×重み</t>
    <rPh sb="0" eb="2">
      <t>テンスウカツヨウ2</t>
    </rPh>
    <rPh sb="11" eb="12">
      <t>オモ</t>
    </rPh>
    <phoneticPr fontId="7"/>
  </si>
  <si>
    <t>点数（アジリティ）×重み</t>
    <rPh sb="0" eb="2">
      <t>テンスウ3</t>
    </rPh>
    <phoneticPr fontId="7"/>
  </si>
  <si>
    <t>点数（スピード）×重み</t>
    <rPh sb="0" eb="2">
      <t>テンスウ4</t>
    </rPh>
    <phoneticPr fontId="7"/>
  </si>
  <si>
    <t>点数（利用品質）×重み</t>
    <rPh sb="0" eb="2">
      <t>テンスウリヨウ5</t>
    </rPh>
    <phoneticPr fontId="7"/>
  </si>
  <si>
    <t>点数（開発品質）×重み</t>
    <rPh sb="0" eb="2">
      <t>テンスウカイハツ26</t>
    </rPh>
    <phoneticPr fontId="7"/>
  </si>
  <si>
    <t>配点（データ活用性）</t>
    <rPh sb="0" eb="2">
      <t>ハイテン</t>
    </rPh>
    <rPh sb="6" eb="9">
      <t>カツヨウセイ</t>
    </rPh>
    <phoneticPr fontId="7"/>
  </si>
  <si>
    <t>配点（アジリティ）</t>
    <rPh sb="0" eb="2">
      <t>ハイテン2</t>
    </rPh>
    <phoneticPr fontId="7"/>
  </si>
  <si>
    <t>配点（スピード）</t>
    <rPh sb="0" eb="2">
      <t>ハイテン3</t>
    </rPh>
    <phoneticPr fontId="7"/>
  </si>
  <si>
    <t>配点（利用品質）</t>
    <rPh sb="0" eb="2">
      <t>ハイテン</t>
    </rPh>
    <rPh sb="3" eb="5">
      <t>リヨウ</t>
    </rPh>
    <rPh sb="5" eb="7">
      <t>ヒンシツ</t>
    </rPh>
    <phoneticPr fontId="7"/>
  </si>
  <si>
    <t>配点（開発品質）</t>
    <rPh sb="0" eb="2">
      <t>ハイテンヒンシツ2</t>
    </rPh>
    <rPh sb="3" eb="5">
      <t>カイハツ</t>
    </rPh>
    <rPh sb="5" eb="7">
      <t>ヒンシツ</t>
    </rPh>
    <phoneticPr fontId="7"/>
  </si>
  <si>
    <t>配点（IT資産）×重み</t>
    <rPh sb="0" eb="2">
      <t>ハイテンシサン4</t>
    </rPh>
    <phoneticPr fontId="7"/>
  </si>
  <si>
    <t>配点（データ活用性）×重み</t>
    <rPh sb="0" eb="2">
      <t>ハイテンカツヨウセイ2</t>
    </rPh>
    <phoneticPr fontId="7"/>
  </si>
  <si>
    <t>配点（アジリティ）×重み</t>
    <rPh sb="0" eb="2">
      <t>ハイテン23</t>
    </rPh>
    <phoneticPr fontId="7"/>
  </si>
  <si>
    <t>配点（スピード）×重み</t>
    <rPh sb="0" eb="2">
      <t>ハイテン34</t>
    </rPh>
    <phoneticPr fontId="7"/>
  </si>
  <si>
    <t>配点（利用品質）×重み</t>
    <rPh sb="0" eb="2">
      <t>ハイテンリヨウ5</t>
    </rPh>
    <phoneticPr fontId="7"/>
  </si>
  <si>
    <t>配点（開発品質）×重み</t>
    <rPh sb="0" eb="2">
      <t>ハイテンヒンシツ2カイハツ6</t>
    </rPh>
    <phoneticPr fontId="7"/>
  </si>
  <si>
    <t>点数（データ活用性）　変換後</t>
    <rPh sb="0" eb="2">
      <t>テンスウカツヨウ2</t>
    </rPh>
    <phoneticPr fontId="7"/>
  </si>
  <si>
    <t>点数（アジリティ）　変換後</t>
    <rPh sb="0" eb="2">
      <t>テンスウ3</t>
    </rPh>
    <phoneticPr fontId="7"/>
  </si>
  <si>
    <t>点数（スピード）　変換後</t>
    <rPh sb="0" eb="2">
      <t>テンスウ4</t>
    </rPh>
    <phoneticPr fontId="7"/>
  </si>
  <si>
    <t>点数（利用品質）　変換後</t>
    <rPh sb="0" eb="2">
      <t>テンスウリヨウ5</t>
    </rPh>
    <phoneticPr fontId="7"/>
  </si>
  <si>
    <t>点数（開発品質）　変換後</t>
    <rPh sb="0" eb="2">
      <t>テンスウカイハツ26</t>
    </rPh>
    <phoneticPr fontId="7"/>
  </si>
  <si>
    <t>工程別工数</t>
    <rPh sb="0" eb="2">
      <t>コウテイ</t>
    </rPh>
    <rPh sb="2" eb="3">
      <t>ベツ</t>
    </rPh>
    <rPh sb="3" eb="5">
      <t>コウスウ</t>
    </rPh>
    <phoneticPr fontId="8"/>
  </si>
  <si>
    <t>年間リリースプログラム数（延べ）</t>
    <rPh sb="0" eb="2">
      <t>ネンカン</t>
    </rPh>
    <rPh sb="11" eb="12">
      <t>スウ</t>
    </rPh>
    <rPh sb="13" eb="14">
      <t>ノ</t>
    </rPh>
    <phoneticPr fontId="8"/>
  </si>
  <si>
    <t>単純移行回数</t>
    <rPh sb="0" eb="2">
      <t>タンジュン</t>
    </rPh>
    <rPh sb="2" eb="4">
      <t>イコウ</t>
    </rPh>
    <rPh sb="4" eb="6">
      <t>カイスウ</t>
    </rPh>
    <phoneticPr fontId="8"/>
  </si>
  <si>
    <t>150本／年</t>
    <rPh sb="3" eb="4">
      <t>ホン</t>
    </rPh>
    <rPh sb="5" eb="6">
      <t>ネン</t>
    </rPh>
    <phoneticPr fontId="7"/>
  </si>
  <si>
    <t>0回</t>
    <rPh sb="1" eb="2">
      <t>カイ</t>
    </rPh>
    <phoneticPr fontId="7"/>
  </si>
  <si>
    <t>対象／対象外</t>
    <rPh sb="0" eb="2">
      <t>タイショウ</t>
    </rPh>
    <rPh sb="3" eb="6">
      <t>タイショウガイ</t>
    </rPh>
    <phoneticPr fontId="7"/>
  </si>
  <si>
    <t>対象</t>
    <rPh sb="0" eb="2">
      <t>タイショウ</t>
    </rPh>
    <phoneticPr fontId="7"/>
  </si>
  <si>
    <t>対象外</t>
    <rPh sb="0" eb="3">
      <t>タイショウガイ</t>
    </rPh>
    <phoneticPr fontId="7"/>
  </si>
  <si>
    <t>×</t>
    <phoneticPr fontId="7"/>
  </si>
  <si>
    <t>△</t>
    <phoneticPr fontId="7"/>
  </si>
  <si>
    <t>○</t>
    <phoneticPr fontId="7"/>
  </si>
  <si>
    <t>百点満点換算</t>
    <rPh sb="0" eb="2">
      <t>ヒャクテン</t>
    </rPh>
    <rPh sb="2" eb="4">
      <t>マンテン</t>
    </rPh>
    <rPh sb="4" eb="6">
      <t>カンサン</t>
    </rPh>
    <phoneticPr fontId="7"/>
  </si>
  <si>
    <t>機能システム概要</t>
    <rPh sb="0" eb="2">
      <t>キノウ</t>
    </rPh>
    <rPh sb="6" eb="8">
      <t>ガイヨウ</t>
    </rPh>
    <phoneticPr fontId="7"/>
  </si>
  <si>
    <t>ｘｘｘ</t>
    <phoneticPr fontId="7"/>
  </si>
  <si>
    <t>演習では1つだけ記入する→</t>
    <rPh sb="0" eb="2">
      <t>エンシュウ</t>
    </rPh>
    <rPh sb="8" eb="10">
      <t>キニュウ</t>
    </rPh>
    <phoneticPr fontId="7"/>
  </si>
  <si>
    <t>※濃いオレンジの列のみ入力する。他は自動計算される。</t>
    <rPh sb="1" eb="2">
      <t>コ</t>
    </rPh>
    <rPh sb="8" eb="9">
      <t>レツ</t>
    </rPh>
    <rPh sb="11" eb="13">
      <t>ニュウリョク</t>
    </rPh>
    <rPh sb="16" eb="17">
      <t>タ</t>
    </rPh>
    <rPh sb="18" eb="20">
      <t>ジドウ</t>
    </rPh>
    <rPh sb="20" eb="22">
      <t>ケイサン</t>
    </rPh>
    <phoneticPr fontId="7"/>
  </si>
  <si>
    <t>評価のステップ</t>
    <rPh sb="0" eb="2">
      <t>ヒョウカ</t>
    </rPh>
    <phoneticPr fontId="24"/>
  </si>
  <si>
    <t>シート名</t>
    <rPh sb="3" eb="4">
      <t>メイ</t>
    </rPh>
    <phoneticPr fontId="24"/>
  </si>
  <si>
    <t>説明</t>
    <rPh sb="0" eb="2">
      <t>セツメイ</t>
    </rPh>
    <phoneticPr fontId="24"/>
  </si>
  <si>
    <t>ステップ３</t>
    <phoneticPr fontId="24"/>
  </si>
  <si>
    <t>全ての機能システムに対する評価を完了した後、各機能システムについて6つの分類の点数と配点を記入する。合わせて、機能システムの属性情報である「影響度」から機能システムの重みを決定し記入する。</t>
    <rPh sb="0" eb="1">
      <t>スベ</t>
    </rPh>
    <rPh sb="3" eb="5">
      <t>キノウ</t>
    </rPh>
    <rPh sb="10" eb="11">
      <t>タイ</t>
    </rPh>
    <rPh sb="13" eb="15">
      <t>ヒョウカ</t>
    </rPh>
    <rPh sb="16" eb="18">
      <t>カンリョウ</t>
    </rPh>
    <rPh sb="20" eb="21">
      <t>ノチ</t>
    </rPh>
    <rPh sb="22" eb="23">
      <t>カク</t>
    </rPh>
    <rPh sb="23" eb="25">
      <t>キノウ</t>
    </rPh>
    <rPh sb="36" eb="38">
      <t>ブンルイ</t>
    </rPh>
    <rPh sb="39" eb="41">
      <t>テンスウ</t>
    </rPh>
    <rPh sb="42" eb="44">
      <t>ハイテン</t>
    </rPh>
    <rPh sb="45" eb="47">
      <t>キニュウ</t>
    </rPh>
    <rPh sb="50" eb="51">
      <t>ア</t>
    </rPh>
    <rPh sb="55" eb="57">
      <t>キノウ</t>
    </rPh>
    <rPh sb="62" eb="64">
      <t>ゾクセイ</t>
    </rPh>
    <rPh sb="64" eb="66">
      <t>ジョウホウ</t>
    </rPh>
    <rPh sb="70" eb="73">
      <t>エイキョウド</t>
    </rPh>
    <rPh sb="76" eb="78">
      <t>キノウ</t>
    </rPh>
    <rPh sb="83" eb="84">
      <t>オモ</t>
    </rPh>
    <rPh sb="86" eb="88">
      <t>ケッテイ</t>
    </rPh>
    <rPh sb="89" eb="91">
      <t>キニュウ</t>
    </rPh>
    <phoneticPr fontId="24"/>
  </si>
  <si>
    <t>シート一覧</t>
    <rPh sb="3" eb="5">
      <t>イチラン</t>
    </rPh>
    <phoneticPr fontId="7"/>
  </si>
  <si>
    <t>－</t>
    <phoneticPr fontId="7"/>
  </si>
  <si>
    <t xml:space="preserve">3-1．機能システム一覧 </t>
    <phoneticPr fontId="7"/>
  </si>
  <si>
    <t>指標の種別</t>
    <rPh sb="0" eb="2">
      <t>シヒョウ</t>
    </rPh>
    <rPh sb="3" eb="5">
      <t>シュベツ</t>
    </rPh>
    <phoneticPr fontId="24"/>
  </si>
  <si>
    <t>評価全体の流れと使用するシート</t>
    <rPh sb="0" eb="2">
      <t>ヒョウカ</t>
    </rPh>
    <rPh sb="2" eb="4">
      <t>ゼンタイ</t>
    </rPh>
    <rPh sb="5" eb="6">
      <t>ナガ</t>
    </rPh>
    <rPh sb="8" eb="10">
      <t>シヨウ</t>
    </rPh>
    <phoneticPr fontId="7"/>
  </si>
  <si>
    <t>PFデジタル化指標による評価全体の流れと、使用するシート番号を以下に示す。本ファイルに含まれるシートは、図中に太字で表している。</t>
    <rPh sb="6" eb="9">
      <t>カシヒョウ</t>
    </rPh>
    <rPh sb="12" eb="14">
      <t>ヒョウカ</t>
    </rPh>
    <rPh sb="14" eb="16">
      <t>ゼンタイ</t>
    </rPh>
    <rPh sb="17" eb="18">
      <t>ナガ</t>
    </rPh>
    <rPh sb="21" eb="23">
      <t>シヨウ</t>
    </rPh>
    <rPh sb="28" eb="30">
      <t>バンゴウ</t>
    </rPh>
    <rPh sb="31" eb="33">
      <t>イカ</t>
    </rPh>
    <rPh sb="34" eb="35">
      <t>シメ</t>
    </rPh>
    <rPh sb="37" eb="38">
      <t>ホン</t>
    </rPh>
    <rPh sb="43" eb="44">
      <t>フク</t>
    </rPh>
    <phoneticPr fontId="7"/>
  </si>
  <si>
    <t>入力箇所について</t>
    <rPh sb="0" eb="2">
      <t>ニュウリョク</t>
    </rPh>
    <rPh sb="2" eb="4">
      <t>カショ</t>
    </rPh>
    <phoneticPr fontId="7"/>
  </si>
  <si>
    <t>＜例＞</t>
    <rPh sb="1" eb="2">
      <t>レイ</t>
    </rPh>
    <phoneticPr fontId="7"/>
  </si>
  <si>
    <t>入力</t>
    <rPh sb="0" eb="2">
      <t>ニュウリョク</t>
    </rPh>
    <phoneticPr fontId="7"/>
  </si>
  <si>
    <t>参照</t>
    <rPh sb="0" eb="2">
      <t>サンショウ</t>
    </rPh>
    <phoneticPr fontId="7"/>
  </si>
  <si>
    <t>○</t>
    <phoneticPr fontId="7"/>
  </si>
  <si>
    <t>分析コメント</t>
    <rPh sb="0" eb="2">
      <t>ブンセキ</t>
    </rPh>
    <phoneticPr fontId="7"/>
  </si>
  <si>
    <t>分類ごとに、配点に対してどのくらいの点数か、割合を確認する。配点に対して点数が低い箇所は、問題がある領域と考えられるため、詳細な調査が必要である。</t>
    <rPh sb="30" eb="32">
      <t>ハイテン</t>
    </rPh>
    <rPh sb="33" eb="34">
      <t>タイ</t>
    </rPh>
    <rPh sb="36" eb="38">
      <t>テンスウ</t>
    </rPh>
    <rPh sb="61" eb="63">
      <t>ショウサイ</t>
    </rPh>
    <rPh sb="64" eb="66">
      <t>チョウサ</t>
    </rPh>
    <rPh sb="67" eb="69">
      <t>ヒツヨウ</t>
    </rPh>
    <phoneticPr fontId="7"/>
  </si>
  <si>
    <t>データ活用性が23%、と他よりかなり低くなっており、問題があると考えられる。別途、詳しく調査する必要がある。</t>
    <rPh sb="38" eb="40">
      <t>ベット</t>
    </rPh>
    <rPh sb="41" eb="42">
      <t>クワ</t>
    </rPh>
    <rPh sb="44" eb="46">
      <t>チョウサ</t>
    </rPh>
    <rPh sb="48" eb="50">
      <t>ヒツヨウ</t>
    </rPh>
    <phoneticPr fontId="7"/>
  </si>
  <si>
    <t>機能システム一覧に記入され集計されたデータから、6つの分類について、全ての機能システムの合計点を、レーダーチャートで表示する。ITシステム全体の点数を積み上げた場合に、6つの分類のどこに問題があるか確認し、コメントを記入する。</t>
    <rPh sb="0" eb="2">
      <t>キノウ</t>
    </rPh>
    <rPh sb="6" eb="8">
      <t>イチラン</t>
    </rPh>
    <rPh sb="9" eb="11">
      <t>キニュウ</t>
    </rPh>
    <rPh sb="13" eb="15">
      <t>シュウケイ</t>
    </rPh>
    <rPh sb="34" eb="35">
      <t>スベ</t>
    </rPh>
    <rPh sb="37" eb="39">
      <t>キノウ</t>
    </rPh>
    <rPh sb="44" eb="46">
      <t>ゴウケイ</t>
    </rPh>
    <rPh sb="46" eb="47">
      <t>テン</t>
    </rPh>
    <rPh sb="58" eb="60">
      <t>ヒョウジ</t>
    </rPh>
    <rPh sb="69" eb="71">
      <t>ゼンタイ</t>
    </rPh>
    <rPh sb="72" eb="74">
      <t>テンスウ</t>
    </rPh>
    <rPh sb="75" eb="76">
      <t>ツ</t>
    </rPh>
    <rPh sb="77" eb="78">
      <t>ア</t>
    </rPh>
    <rPh sb="80" eb="82">
      <t>バアイモンダイカクニン</t>
    </rPh>
    <rPh sb="108" eb="110">
      <t>キニュウ</t>
    </rPh>
    <phoneticPr fontId="24"/>
  </si>
  <si>
    <t>↓「3-1．機能システム一覧」シートのAQ14～AV14、BE14～BJ14、の値のリンク</t>
    <rPh sb="40" eb="41">
      <t>アタイ</t>
    </rPh>
    <phoneticPr fontId="7"/>
  </si>
  <si>
    <t>↑「評価表_機能システム」の「2-1．属性情報」シートの影響度から、値を転記する</t>
    <rPh sb="28" eb="31">
      <t>エイキョウド</t>
    </rPh>
    <rPh sb="34" eb="35">
      <t>アタイ</t>
    </rPh>
    <rPh sb="36" eb="38">
      <t>テンキ</t>
    </rPh>
    <phoneticPr fontId="7"/>
  </si>
  <si>
    <t>本資料は、PFデジタル化指標による評価において、設問への回答や点数の集計、グラフ化、分析のためのワークシート集である。</t>
    <rPh sb="11" eb="14">
      <t>カシヒョウ</t>
    </rPh>
    <rPh sb="17" eb="19">
      <t>ヒョウカ</t>
    </rPh>
    <rPh sb="24" eb="26">
      <t>セツモン</t>
    </rPh>
    <rPh sb="28" eb="30">
      <t>カイトウ</t>
    </rPh>
    <rPh sb="31" eb="33">
      <t>テンスウ</t>
    </rPh>
    <rPh sb="34" eb="36">
      <t>シュウケイ</t>
    </rPh>
    <rPh sb="40" eb="41">
      <t>カ</t>
    </rPh>
    <rPh sb="42" eb="44">
      <t>ブンセキ</t>
    </rPh>
    <rPh sb="54" eb="55">
      <t>アツ</t>
    </rPh>
    <phoneticPr fontId="7"/>
  </si>
  <si>
    <t>「PFデジタル化指標（評価表_総合評価）」（以下、本資料）について</t>
    <rPh sb="22" eb="24">
      <t>イカ</t>
    </rPh>
    <phoneticPr fontId="7"/>
  </si>
  <si>
    <t>本ファイルは、総合評価で使用する（全体で1回使用）。</t>
    <rPh sb="0" eb="1">
      <t>ホン</t>
    </rPh>
    <rPh sb="12" eb="14">
      <t>シヨウ</t>
    </rPh>
    <rPh sb="17" eb="19">
      <t>ゼンタイ</t>
    </rPh>
    <rPh sb="21" eb="22">
      <t>カイ</t>
    </rPh>
    <rPh sb="22" eb="24">
      <t>シヨウ</t>
    </rPh>
    <phoneticPr fontId="3"/>
  </si>
  <si>
    <t>各シート中、入力する必要がある列はヘッダを背景が「濃いオレンジ色」にしている。下記の例では、「ダウンタイム許容度」、「顧客影響度」、「社会影響度」の列のみ記入する。</t>
    <rPh sb="0" eb="1">
      <t>カク</t>
    </rPh>
    <rPh sb="4" eb="5">
      <t>チュウ</t>
    </rPh>
    <rPh sb="6" eb="8">
      <t>ニュウリョク</t>
    </rPh>
    <rPh sb="10" eb="12">
      <t>ヒツヨウ</t>
    </rPh>
    <rPh sb="15" eb="16">
      <t>レツ</t>
    </rPh>
    <rPh sb="21" eb="23">
      <t>ハイケイ</t>
    </rPh>
    <rPh sb="25" eb="26">
      <t>コ</t>
    </rPh>
    <rPh sb="31" eb="32">
      <t>イロ</t>
    </rPh>
    <rPh sb="53" eb="56">
      <t>キョヨウド</t>
    </rPh>
    <rPh sb="59" eb="61">
      <t>コキャク</t>
    </rPh>
    <rPh sb="61" eb="64">
      <t>エイキョウド</t>
    </rPh>
    <rPh sb="67" eb="72">
      <t>シャカイエイキョウド</t>
    </rPh>
    <phoneticPr fontId="7"/>
  </si>
  <si>
    <t>3-2．評価結果　総合評価</t>
  </si>
  <si>
    <t>重み</t>
    <rPh sb="0" eb="1">
      <t>オモ</t>
    </rPh>
    <phoneticPr fontId="7"/>
  </si>
  <si>
    <t>↑「評価表_機能システム」の「2-8．評価結果　機能システム」シートの「M2～R2」の値を上記「AC?～AH?（?は5,6,7,…）」に転記する。</t>
    <rPh sb="2" eb="4">
      <t>ヒョウカ</t>
    </rPh>
    <rPh sb="4" eb="5">
      <t>ヒョウ</t>
    </rPh>
    <rPh sb="6" eb="8">
      <t>キノウ</t>
    </rPh>
    <rPh sb="19" eb="21">
      <t>ヒョウカ</t>
    </rPh>
    <rPh sb="21" eb="23">
      <t>ケッカ</t>
    </rPh>
    <rPh sb="24" eb="26">
      <t>キノウ</t>
    </rPh>
    <rPh sb="43" eb="44">
      <t>アタイ</t>
    </rPh>
    <rPh sb="45" eb="47">
      <t>ジョウキ</t>
    </rPh>
    <rPh sb="68" eb="70">
      <t>テンキ</t>
    </rPh>
    <phoneticPr fontId="7"/>
  </si>
  <si>
    <t>↑「評価表_機能システム」の「2-8．評価結果　機能システム」シートの「M3～R3」の値を上記「AQ?～AV?（?は5,6,7,…）」に転記する。</t>
    <rPh sb="68" eb="70">
      <t>テンキ</t>
    </rPh>
    <phoneticPr fontId="7"/>
  </si>
  <si>
    <t>↓「3-1．機能システム一覧（記入例）」シートのAQ14～AV14、BE14～BJ14、の値のリンク</t>
    <rPh sb="15" eb="17">
      <t>キニュウ</t>
    </rPh>
    <rPh sb="17" eb="18">
      <t>レイ</t>
    </rPh>
    <rPh sb="45" eb="46">
      <t>アタイ</t>
    </rPh>
    <phoneticPr fontId="7"/>
  </si>
  <si>
    <t>独立行政法人 情報処理推進機構</t>
  </si>
  <si>
    <t>プラットフォームデジタル化指標（評価表_総合評価）</t>
    <rPh sb="12" eb="15">
      <t>カシヒョウ</t>
    </rPh>
    <rPh sb="16" eb="18">
      <t>ヒョウカ</t>
    </rPh>
    <rPh sb="18" eb="19">
      <t>ヒョウ</t>
    </rPh>
    <rPh sb="20" eb="22">
      <t>ソウゴウ</t>
    </rPh>
    <rPh sb="22" eb="24">
      <t>ヒョウカ</t>
    </rPh>
    <phoneticPr fontId="7"/>
  </si>
  <si>
    <t>改版履歴</t>
    <rPh sb="0" eb="2">
      <t>カイハン</t>
    </rPh>
    <rPh sb="2" eb="4">
      <t>リレキ</t>
    </rPh>
    <phoneticPr fontId="7"/>
  </si>
  <si>
    <t>版数</t>
  </si>
  <si>
    <t>改版年月日</t>
  </si>
  <si>
    <t>改版内容</t>
  </si>
  <si>
    <t>新規作成</t>
    <rPh sb="0" eb="2">
      <t>シンキ</t>
    </rPh>
    <rPh sb="2" eb="4">
      <t>サクセイ</t>
    </rPh>
    <phoneticPr fontId="7"/>
  </si>
  <si>
    <t>社会基盤センター</t>
    <rPh sb="0" eb="4">
      <t>シャカイキバン</t>
    </rPh>
    <phoneticPr fontId="7"/>
  </si>
  <si>
    <t>個別の分析観点の追加について</t>
    <rPh sb="0" eb="2">
      <t>コベツ</t>
    </rPh>
    <rPh sb="3" eb="5">
      <t>ブンセキ</t>
    </rPh>
    <rPh sb="5" eb="7">
      <t>カンテン</t>
    </rPh>
    <rPh sb="8" eb="10">
      <t>ツイカ</t>
    </rPh>
    <phoneticPr fontId="7"/>
  </si>
  <si>
    <t>以下のシートで例示する分析観点は最小限であり、各社個別の分析観点も加えながら、問題箇所の深掘りと優先順位付け、原因と対策の検討などにつなげていくことを想定している。</t>
    <phoneticPr fontId="7"/>
  </si>
  <si>
    <t>1-2．分析　ITシステム全体　財務情報</t>
  </si>
  <si>
    <t>1-4．評価結果　ITシステム全体</t>
  </si>
  <si>
    <t>2-3．分析　保有リソースなど</t>
  </si>
  <si>
    <t>2-8．評価結果　機能システム</t>
  </si>
  <si>
    <t>初版</t>
    <rPh sb="0" eb="2">
      <t>ショハン</t>
    </rPh>
    <phoneticPr fontId="7"/>
  </si>
  <si>
    <t>利用許諾</t>
    <rPh sb="0" eb="2">
      <t>リヨウ</t>
    </rPh>
    <rPh sb="2" eb="4">
      <t>キョダク</t>
    </rPh>
    <phoneticPr fontId="7"/>
  </si>
  <si>
    <t xml:space="preserve">この資料は広く活用していただけるように「クリエイティブ・コモンズ 表示 4.0 国際 パブリック・ライセンス」
( https://creativecommons.org/licenses/by/4.0/legalcode.ja ) 
の条件のもとで公開します。
</t>
    <phoneticPr fontId="7"/>
  </si>
  <si>
    <t>　※ご留意いただきたい点についての補足説明</t>
    <rPh sb="3" eb="5">
      <t>リュウイ</t>
    </rPh>
    <rPh sb="11" eb="12">
      <t>テン</t>
    </rPh>
    <rPh sb="17" eb="19">
      <t>ホソク</t>
    </rPh>
    <rPh sb="19" eb="21">
      <t>セツメイ</t>
    </rPh>
    <phoneticPr fontId="7"/>
  </si>
  <si>
    <t>従って、個別の分析観点追加に伴う項目細分化、表・グラフの追加などは適宜実施して構わない。その場合は利用許諾に示す記載をすること。</t>
    <rPh sb="9" eb="11">
      <t>カンテン</t>
    </rPh>
    <rPh sb="11" eb="13">
      <t>ツイカ</t>
    </rPh>
    <rPh sb="14" eb="15">
      <t>トモナ</t>
    </rPh>
    <rPh sb="46" eb="48">
      <t>バアイ</t>
    </rPh>
    <rPh sb="49" eb="51">
      <t>リヨウ</t>
    </rPh>
    <rPh sb="51" eb="53">
      <t>キョダク</t>
    </rPh>
    <rPh sb="54" eb="55">
      <t>シメ</t>
    </rPh>
    <rPh sb="56" eb="58">
      <t>キサイ</t>
    </rPh>
    <phoneticPr fontId="7"/>
  </si>
  <si>
    <t xml:space="preserve">〔出典の記載について〕
この資料を引用などする場合の出典の記載方法は以下のとおりです。
　　出典：独立行政法人情報処理推進機構（IPA） 社会基盤センター，
　　　　　　　「プラットフォームデジタル化指標（評価表）」 
〔この資料を編集・加工せずに利用される場合〕
他の資料の一部分に組み込んだり、別の表紙を足されるような場合には、上記の出展が残る様にしてください。
〔編集・加工について〕
編集・加工を行う際には、上記の出典を示すとともに、編集・加工等を行ったことを記載し、編集・加工した情報があたかもIPAが作成したかのような態様にならない様に配慮していただければ、広く活用していただくことができます。
〔編集・加工があった旨の記載方法の例〕
記載方法を例示します。これ以外の方法でも上記の趣旨を踏まえていただければ支障ありません。
例:
　「プラットフォームデジタル化指標（評価表）」（独立行政法人情報処理推進機構） を加工して
　作成
　「プラットフォームデジタル化指標（評価表）」（独立行政法人情報処理推進機構） をもとに
　○○株式会社作成
　など
</t>
    <rPh sb="114" eb="116">
      <t>シリョウ</t>
    </rPh>
    <rPh sb="117" eb="119">
      <t>ヘンシュウ</t>
    </rPh>
    <rPh sb="120" eb="122">
      <t>カコウ</t>
    </rPh>
    <rPh sb="125" eb="127">
      <t>リヨウ</t>
    </rPh>
    <rPh sb="130" eb="132">
      <t>バアイ</t>
    </rPh>
    <rPh sb="134" eb="135">
      <t>タ</t>
    </rPh>
    <rPh sb="136" eb="138">
      <t>シリョウ</t>
    </rPh>
    <rPh sb="139" eb="142">
      <t>イチブブン</t>
    </rPh>
    <rPh sb="143" eb="144">
      <t>ク</t>
    </rPh>
    <rPh sb="145" eb="146">
      <t>コ</t>
    </rPh>
    <rPh sb="150" eb="151">
      <t>ベツ</t>
    </rPh>
    <rPh sb="152" eb="154">
      <t>ヒョウシ</t>
    </rPh>
    <rPh sb="155" eb="156">
      <t>タ</t>
    </rPh>
    <rPh sb="162" eb="164">
      <t>バアイ</t>
    </rPh>
    <rPh sb="167" eb="169">
      <t>ジョウキ</t>
    </rPh>
    <rPh sb="170" eb="172">
      <t>シュッテン</t>
    </rPh>
    <rPh sb="173" eb="174">
      <t>ノコ</t>
    </rPh>
    <rPh sb="175" eb="176">
      <t>ヨウ</t>
    </rPh>
    <rPh sb="204" eb="205">
      <t>オコナ</t>
    </rPh>
    <rPh sb="206" eb="207">
      <t>サイ</t>
    </rPh>
    <rPh sb="274" eb="275">
      <t>ヨウ</t>
    </rPh>
    <rPh sb="276" eb="278">
      <t>ハイリョ</t>
    </rPh>
    <rPh sb="321" eb="323">
      <t>ホウホウ</t>
    </rPh>
    <rPh sb="327" eb="329">
      <t>キサイ</t>
    </rPh>
    <rPh sb="329" eb="331">
      <t>ホウホウ</t>
    </rPh>
    <rPh sb="332" eb="334">
      <t>レイジ</t>
    </rPh>
    <rPh sb="340" eb="342">
      <t>イガイ</t>
    </rPh>
    <rPh sb="343" eb="345">
      <t>ホウホウ</t>
    </rPh>
    <rPh sb="347" eb="349">
      <t>ジョウキ</t>
    </rPh>
    <rPh sb="350" eb="352">
      <t>シュシ</t>
    </rPh>
    <rPh sb="353" eb="354">
      <t>フ</t>
    </rPh>
    <rPh sb="363" eb="365">
      <t>シショウ</t>
    </rPh>
    <rPh sb="372" eb="373">
      <t>レイ</t>
    </rPh>
    <phoneticPr fontId="7"/>
  </si>
  <si>
    <t>ITシステム品質</t>
    <rPh sb="6" eb="8">
      <t>ヒンシツ</t>
    </rPh>
    <phoneticPr fontId="7"/>
  </si>
  <si>
    <t>点数×重み×配点の合計／（配点×重みの合計）</t>
    <rPh sb="0" eb="2">
      <t>テンスウ</t>
    </rPh>
    <rPh sb="3" eb="4">
      <t>オモ</t>
    </rPh>
    <rPh sb="6" eb="8">
      <t>ハイテン</t>
    </rPh>
    <rPh sb="9" eb="11">
      <t>ゴウケイ</t>
    </rPh>
    <rPh sb="13" eb="15">
      <t>ハイテン</t>
    </rPh>
    <rPh sb="16" eb="17">
      <t>オモ</t>
    </rPh>
    <rPh sb="19" eb="21">
      <t>ゴウケイ</t>
    </rPh>
    <phoneticPr fontId="7"/>
  </si>
  <si>
    <t>※各シートには、例を入力済みのシート「ｘｘｘ（記入例）」も付けている。</t>
    <rPh sb="1" eb="2">
      <t>カク</t>
    </rPh>
    <rPh sb="8" eb="9">
      <t>レイ</t>
    </rPh>
    <rPh sb="10" eb="12">
      <t>ニュウリョク</t>
    </rPh>
    <rPh sb="12" eb="13">
      <t>ズ</t>
    </rPh>
    <rPh sb="23" eb="25">
      <t>キニュウ</t>
    </rPh>
    <rPh sb="25" eb="26">
      <t>レイ</t>
    </rPh>
    <rPh sb="29" eb="30">
      <t>ツ</t>
    </rPh>
    <phoneticPr fontId="7"/>
  </si>
  <si>
    <t>第2版</t>
    <rPh sb="0" eb="1">
      <t>ダイ</t>
    </rPh>
    <rPh sb="2" eb="3">
      <t>ハン</t>
    </rPh>
    <phoneticPr fontId="7"/>
  </si>
  <si>
    <t>※本資料は、「PFデジタル化指標（活用ガイド）」（以降「活用ガイド」）の内容を理解してから使用することを前提としている。</t>
    <rPh sb="17" eb="19">
      <t>カツヨウ</t>
    </rPh>
    <rPh sb="21" eb="23">
      <t>リヨウ</t>
    </rPh>
    <rPh sb="28" eb="30">
      <t>カツヨウ</t>
    </rPh>
    <rPh sb="32" eb="34">
      <t>リヨウ</t>
    </rPh>
    <rPh sb="45" eb="47">
      <t>シヨウ</t>
    </rPh>
    <rPh sb="49" eb="51">
      <t>シヨウ</t>
    </rPh>
    <rPh sb="56" eb="58">
      <t>ゼンテイ</t>
    </rPh>
    <phoneticPr fontId="7"/>
  </si>
  <si>
    <t>↑影響度合計値から、機能システムの重みの値を決定する（活用ガイド「4.5.　機能システムごとの評価における配点と重み付けの考え方」参照）</t>
    <rPh sb="1" eb="4">
      <t>エイキョウド</t>
    </rPh>
    <rPh sb="4" eb="7">
      <t>ゴウケイチ</t>
    </rPh>
    <rPh sb="10" eb="12">
      <t>キノウ</t>
    </rPh>
    <rPh sb="17" eb="18">
      <t>オモ</t>
    </rPh>
    <rPh sb="20" eb="21">
      <t>アタイ</t>
    </rPh>
    <rPh sb="22" eb="24">
      <t>ケッテイ</t>
    </rPh>
    <phoneticPr fontId="7"/>
  </si>
  <si>
    <t>PFデジタル化指標（活用ガイド）に合わせた修正と軽微な誤記訂正</t>
    <rPh sb="6" eb="9">
      <t>カシヒョウ</t>
    </rPh>
    <rPh sb="10" eb="12">
      <t>カツヨウ</t>
    </rPh>
    <rPh sb="17" eb="18">
      <t>ア</t>
    </rPh>
    <rPh sb="21" eb="23">
      <t>シュウセイ</t>
    </rPh>
    <rPh sb="24" eb="26">
      <t>ケイビ</t>
    </rPh>
    <rPh sb="27" eb="29">
      <t>ゴキ</t>
    </rPh>
    <rPh sb="29" eb="31">
      <t>テイセイ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</si>
</sst>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F800]dddd\,\ mmmm\ dd\,\ yyyy"/>
  </numFmts>
  <fonts count="3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11"/>
      <color theme="0"/>
      <name val="Yu Gothic"/>
      <family val="2"/>
      <charset val="128"/>
      <scheme val="minor"/>
    </font>
    <font>
      <sz val="6"/>
      <name val="Yu Gothic"/>
      <family val="3"/>
      <charset val="128"/>
      <scheme val="minor"/>
    </font>
    <font>
      <b/>
      <sz val="11"/>
      <color theme="1"/>
      <name val="Meiryo UI"/>
      <family val="3"/>
      <charset val="128"/>
    </font>
    <font>
      <sz val="11"/>
      <color theme="1"/>
      <name val="Meiryo UI"/>
      <family val="3"/>
      <charset val="128"/>
    </font>
    <font>
      <sz val="11"/>
      <color theme="0"/>
      <name val="Meiryo UI"/>
      <family val="3"/>
      <charset val="128"/>
    </font>
    <font>
      <b/>
      <sz val="11"/>
      <color theme="0"/>
      <name val="Meiryo UI"/>
      <family val="3"/>
      <charset val="128"/>
    </font>
    <font>
      <i/>
      <sz val="11"/>
      <name val="Meiryo UI"/>
      <family val="3"/>
      <charset val="128"/>
    </font>
    <font>
      <sz val="11"/>
      <color rgb="FFFF0000"/>
      <name val="Meiryo UI"/>
      <family val="3"/>
      <charset val="128"/>
    </font>
    <font>
      <sz val="11"/>
      <name val="Meiryo UI"/>
      <family val="3"/>
      <charset val="128"/>
    </font>
    <font>
      <b/>
      <sz val="11"/>
      <name val="Meiryo UI"/>
      <family val="3"/>
      <charset val="128"/>
    </font>
    <font>
      <b/>
      <sz val="14"/>
      <color theme="1"/>
      <name val="Meiryo UI"/>
      <family val="3"/>
      <charset val="128"/>
    </font>
    <font>
      <sz val="12"/>
      <color theme="1"/>
      <name val="Meiryo UI"/>
      <family val="3"/>
      <charset val="128"/>
    </font>
    <font>
      <sz val="12"/>
      <name val="Meiryo UI"/>
      <family val="3"/>
      <charset val="128"/>
    </font>
    <font>
      <b/>
      <sz val="11"/>
      <color theme="1"/>
      <name val="Yu Gothic"/>
      <family val="3"/>
      <charset val="128"/>
      <scheme val="minor"/>
    </font>
    <font>
      <b/>
      <sz val="11"/>
      <color theme="1" tint="0.499984740745262"/>
      <name val="Meiryo UI"/>
      <family val="3"/>
      <charset val="128"/>
    </font>
    <font>
      <sz val="11"/>
      <color rgb="FFC00000"/>
      <name val="Meiryo UI"/>
      <family val="3"/>
      <charset val="128"/>
    </font>
    <font>
      <sz val="12"/>
      <color rgb="FFC00000"/>
      <name val="Meiryo UI"/>
      <family val="3"/>
      <charset val="128"/>
    </font>
    <font>
      <sz val="11"/>
      <color rgb="FF0070C0"/>
      <name val="Meiryo UI"/>
      <family val="3"/>
      <charset val="128"/>
    </font>
    <font>
      <sz val="6"/>
      <name val="Yu Gothic"/>
      <family val="2"/>
      <charset val="128"/>
      <scheme val="minor"/>
    </font>
    <font>
      <sz val="11"/>
      <color theme="0" tint="-4.9989318521683403E-2"/>
      <name val="Meiryo UI"/>
      <family val="3"/>
      <charset val="128"/>
    </font>
    <font>
      <u/>
      <sz val="11"/>
      <color rgb="FFFF0000"/>
      <name val="Meiryo UI"/>
      <family val="3"/>
      <charset val="128"/>
    </font>
    <font>
      <b/>
      <sz val="11"/>
      <color indexed="9"/>
      <name val="Meiryo UI"/>
      <family val="3"/>
      <charset val="128"/>
    </font>
    <font>
      <b/>
      <sz val="16"/>
      <color theme="1"/>
      <name val="Meiryo UI"/>
      <family val="3"/>
      <charset val="128"/>
    </font>
    <font>
      <sz val="14"/>
      <color theme="1"/>
      <name val="Meiryo UI"/>
      <family val="3"/>
      <charset val="128"/>
    </font>
    <font>
      <sz val="11"/>
      <color theme="1" tint="0.499984740745262"/>
      <name val="Meiryo UI"/>
      <family val="3"/>
      <charset val="128"/>
    </font>
  </fonts>
  <fills count="12">
    <fill>
      <patternFill patternType="none"/>
    </fill>
    <fill>
      <patternFill patternType="gray125"/>
    </fill>
    <fill>
      <patternFill patternType="solid">
        <fgColor theme="5"/>
      </patternFill>
    </fill>
    <fill>
      <patternFill patternType="solid">
        <fgColor theme="7"/>
      </patternFill>
    </fill>
    <fill>
      <patternFill patternType="solid">
        <fgColor theme="9"/>
      </patternFill>
    </fill>
    <fill>
      <patternFill patternType="solid">
        <fgColor theme="5"/>
        <bgColor indexed="64"/>
      </patternFill>
    </fill>
    <fill>
      <patternFill patternType="solid">
        <fgColor theme="7"/>
        <bgColor indexed="64"/>
      </patternFill>
    </fill>
    <fill>
      <patternFill patternType="solid">
        <fgColor theme="9"/>
        <bgColor indexed="64"/>
      </patternFill>
    </fill>
    <fill>
      <patternFill patternType="solid">
        <fgColor theme="8" tint="0.79998168889431442"/>
        <bgColor theme="8" tint="0.79998168889431442"/>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diagonalUp="1">
      <left/>
      <right/>
      <top/>
      <bottom/>
      <diagonal style="thin">
        <color auto="1"/>
      </diagonal>
    </border>
    <border>
      <left/>
      <right/>
      <top style="thin">
        <color indexed="64"/>
      </top>
      <bottom/>
      <diagonal/>
    </border>
    <border>
      <left/>
      <right/>
      <top/>
      <bottom style="thin">
        <color indexed="64"/>
      </bottom>
      <diagonal/>
    </border>
  </borders>
  <cellStyleXfs count="15">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cellStyleXfs>
  <cellXfs count="162">
    <xf numFmtId="0" fontId="0" fillId="0" borderId="0" xfId="0"/>
    <xf numFmtId="0" fontId="9" fillId="0" borderId="0" xfId="0" applyFont="1"/>
    <xf numFmtId="0" fontId="9" fillId="0" borderId="0" xfId="0" applyFont="1" applyAlignment="1">
      <alignment vertical="center" wrapText="1"/>
    </xf>
    <xf numFmtId="0" fontId="9" fillId="0" borderId="0" xfId="0" applyFont="1" applyAlignment="1">
      <alignment vertical="center"/>
    </xf>
    <xf numFmtId="0" fontId="8" fillId="0" borderId="3" xfId="0" applyFont="1" applyBorder="1" applyAlignment="1">
      <alignment vertical="center" wrapText="1"/>
    </xf>
    <xf numFmtId="0" fontId="8" fillId="0" borderId="2" xfId="0" applyFont="1" applyBorder="1"/>
    <xf numFmtId="0" fontId="8" fillId="0" borderId="13" xfId="0" applyFont="1" applyBorder="1"/>
    <xf numFmtId="0" fontId="9" fillId="0" borderId="3" xfId="0" applyFont="1" applyBorder="1"/>
    <xf numFmtId="0" fontId="13" fillId="0" borderId="0" xfId="0" applyFont="1"/>
    <xf numFmtId="0" fontId="16" fillId="0" borderId="0" xfId="0" applyFont="1" applyAlignment="1">
      <alignment vertical="center"/>
    </xf>
    <xf numFmtId="0" fontId="14" fillId="0" borderId="0" xfId="0" applyFont="1" applyAlignment="1">
      <alignment vertical="center"/>
    </xf>
    <xf numFmtId="0" fontId="9" fillId="0" borderId="6" xfId="0" applyFont="1" applyBorder="1" applyAlignment="1">
      <alignment vertical="center"/>
    </xf>
    <xf numFmtId="0" fontId="14" fillId="0" borderId="0" xfId="5" applyFont="1" applyFill="1" applyAlignment="1">
      <alignment vertical="center" wrapText="1"/>
    </xf>
    <xf numFmtId="0" fontId="14" fillId="0" borderId="0" xfId="5" applyFont="1" applyFill="1" applyAlignment="1">
      <alignment vertical="center" wrapText="1" readingOrder="1"/>
    </xf>
    <xf numFmtId="0" fontId="10" fillId="0" borderId="0" xfId="5" applyFont="1" applyFill="1" applyAlignment="1">
      <alignment vertical="center" wrapText="1" readingOrder="1"/>
    </xf>
    <xf numFmtId="0" fontId="10" fillId="7" borderId="0" xfId="5" applyFont="1" applyFill="1" applyAlignment="1">
      <alignment vertical="center" wrapText="1" readingOrder="1"/>
    </xf>
    <xf numFmtId="0" fontId="6" fillId="5" borderId="0" xfId="4" applyFill="1" applyAlignment="1">
      <alignment vertical="center" wrapText="1"/>
    </xf>
    <xf numFmtId="0" fontId="10" fillId="2" borderId="0" xfId="3" applyFont="1" applyAlignment="1">
      <alignment vertical="center" wrapText="1" readingOrder="1"/>
    </xf>
    <xf numFmtId="0" fontId="10" fillId="3" borderId="0" xfId="4" applyFont="1" applyAlignment="1">
      <alignment vertical="center" wrapText="1" readingOrder="1"/>
    </xf>
    <xf numFmtId="176" fontId="9" fillId="0" borderId="0" xfId="1" applyNumberFormat="1" applyFont="1" applyAlignment="1">
      <alignment vertical="center" wrapText="1"/>
    </xf>
    <xf numFmtId="0" fontId="8" fillId="0" borderId="0" xfId="0" applyFont="1" applyAlignment="1">
      <alignment vertical="center" wrapText="1"/>
    </xf>
    <xf numFmtId="55" fontId="9" fillId="0" borderId="0" xfId="0" applyNumberFormat="1" applyFont="1" applyAlignment="1">
      <alignment vertical="center" wrapText="1"/>
    </xf>
    <xf numFmtId="38" fontId="9" fillId="0" borderId="0" xfId="1" applyFont="1" applyAlignment="1">
      <alignment vertical="center" wrapText="1"/>
    </xf>
    <xf numFmtId="9" fontId="9" fillId="0" borderId="0" xfId="0" applyNumberFormat="1" applyFont="1" applyAlignment="1">
      <alignment horizontal="center" vertical="center" wrapText="1"/>
    </xf>
    <xf numFmtId="0" fontId="17" fillId="0" borderId="0" xfId="0" applyFont="1" applyAlignment="1">
      <alignment vertical="center"/>
    </xf>
    <xf numFmtId="0" fontId="18" fillId="0" borderId="0" xfId="0" applyFont="1" applyAlignment="1">
      <alignment vertical="center" wrapText="1"/>
    </xf>
    <xf numFmtId="0" fontId="17" fillId="0" borderId="0" xfId="0" applyFont="1" applyAlignment="1">
      <alignment vertical="center" wrapText="1"/>
    </xf>
    <xf numFmtId="0" fontId="8" fillId="0" borderId="0" xfId="0" applyFont="1"/>
    <xf numFmtId="0" fontId="19" fillId="0" borderId="0" xfId="0" applyFont="1"/>
    <xf numFmtId="0" fontId="0" fillId="9" borderId="0" xfId="0" applyFill="1"/>
    <xf numFmtId="176" fontId="21" fillId="0" borderId="2" xfId="1" applyNumberFormat="1" applyFont="1" applyBorder="1" applyAlignment="1"/>
    <xf numFmtId="176" fontId="21" fillId="0" borderId="13" xfId="1" applyNumberFormat="1" applyFont="1" applyBorder="1" applyAlignment="1"/>
    <xf numFmtId="0" fontId="6" fillId="6" borderId="0" xfId="4" applyFill="1" applyAlignment="1">
      <alignment vertical="center" wrapText="1"/>
    </xf>
    <xf numFmtId="0" fontId="8" fillId="0" borderId="1" xfId="0" applyFont="1" applyFill="1" applyBorder="1" applyAlignment="1">
      <alignment vertical="center"/>
    </xf>
    <xf numFmtId="0" fontId="8" fillId="0" borderId="2" xfId="0" applyFont="1" applyFill="1" applyBorder="1" applyAlignment="1">
      <alignment vertical="center"/>
    </xf>
    <xf numFmtId="0" fontId="8" fillId="0" borderId="3" xfId="0" applyFont="1" applyFill="1" applyBorder="1"/>
    <xf numFmtId="9" fontId="9" fillId="0" borderId="3" xfId="2" applyFont="1" applyFill="1" applyBorder="1" applyAlignment="1"/>
    <xf numFmtId="0" fontId="13" fillId="0" borderId="0" xfId="0" applyFont="1" applyFill="1"/>
    <xf numFmtId="38" fontId="21" fillId="9" borderId="1" xfId="1" applyFont="1" applyFill="1" applyBorder="1" applyAlignment="1"/>
    <xf numFmtId="38" fontId="9" fillId="0" borderId="3" xfId="1" applyFont="1" applyFill="1" applyBorder="1" applyAlignment="1"/>
    <xf numFmtId="38" fontId="21" fillId="0" borderId="13" xfId="1" applyFont="1" applyBorder="1" applyAlignment="1"/>
    <xf numFmtId="38" fontId="12" fillId="0" borderId="1" xfId="1" applyFont="1" applyFill="1" applyBorder="1" applyAlignment="1"/>
    <xf numFmtId="0" fontId="15" fillId="0" borderId="3" xfId="0" applyFont="1" applyFill="1" applyBorder="1" applyAlignment="1">
      <alignment vertical="center"/>
    </xf>
    <xf numFmtId="0" fontId="15" fillId="0" borderId="2" xfId="0" applyFont="1" applyFill="1" applyBorder="1" applyAlignment="1">
      <alignment vertical="center"/>
    </xf>
    <xf numFmtId="0" fontId="10" fillId="6" borderId="0" xfId="3" applyFont="1" applyFill="1" applyAlignment="1">
      <alignment vertical="center" wrapText="1" readingOrder="1"/>
    </xf>
    <xf numFmtId="0" fontId="8" fillId="8" borderId="0" xfId="0" applyFont="1" applyFill="1" applyAlignment="1">
      <alignment vertical="center"/>
    </xf>
    <xf numFmtId="0" fontId="9" fillId="8" borderId="0" xfId="0" applyFont="1" applyFill="1" applyAlignment="1">
      <alignment vertical="center"/>
    </xf>
    <xf numFmtId="55" fontId="9" fillId="8" borderId="0" xfId="0" applyNumberFormat="1" applyFont="1" applyFill="1" applyAlignment="1">
      <alignment vertical="center"/>
    </xf>
    <xf numFmtId="176" fontId="9" fillId="8" borderId="14" xfId="1" applyNumberFormat="1" applyFont="1" applyFill="1" applyBorder="1" applyAlignment="1">
      <alignment vertical="center"/>
    </xf>
    <xf numFmtId="38" fontId="9" fillId="8" borderId="14" xfId="1" applyFont="1" applyFill="1" applyBorder="1" applyAlignment="1">
      <alignment vertical="center"/>
    </xf>
    <xf numFmtId="0" fontId="9" fillId="8" borderId="14" xfId="0" applyFont="1" applyFill="1" applyBorder="1" applyAlignment="1">
      <alignment vertical="center"/>
    </xf>
    <xf numFmtId="38" fontId="9" fillId="8" borderId="0" xfId="1" applyFont="1" applyFill="1" applyAlignment="1">
      <alignment vertical="center"/>
    </xf>
    <xf numFmtId="176" fontId="9" fillId="0" borderId="0" xfId="1" applyNumberFormat="1" applyFont="1" applyAlignment="1">
      <alignment vertical="center"/>
    </xf>
    <xf numFmtId="38" fontId="9" fillId="0" borderId="0" xfId="1" applyFont="1" applyAlignment="1">
      <alignment vertical="center"/>
    </xf>
    <xf numFmtId="38" fontId="9" fillId="0" borderId="0" xfId="1" applyFont="1" applyAlignment="1">
      <alignment horizontal="center" vertical="center"/>
    </xf>
    <xf numFmtId="0" fontId="8" fillId="0" borderId="0" xfId="0" applyFont="1" applyAlignment="1">
      <alignment vertical="center"/>
    </xf>
    <xf numFmtId="55" fontId="9" fillId="0" borderId="0" xfId="0" applyNumberFormat="1" applyFont="1" applyAlignment="1">
      <alignment vertical="center"/>
    </xf>
    <xf numFmtId="176" fontId="9" fillId="0" borderId="14" xfId="1" applyNumberFormat="1" applyFont="1" applyBorder="1" applyAlignment="1">
      <alignment vertical="center"/>
    </xf>
    <xf numFmtId="38" fontId="9" fillId="0" borderId="14" xfId="1" applyFont="1" applyBorder="1" applyAlignment="1">
      <alignment vertical="center"/>
    </xf>
    <xf numFmtId="0" fontId="9" fillId="0" borderId="14" xfId="0" applyFont="1" applyBorder="1" applyAlignment="1">
      <alignment vertical="center"/>
    </xf>
    <xf numFmtId="0" fontId="13" fillId="0" borderId="7" xfId="0" applyFont="1" applyBorder="1" applyAlignment="1">
      <alignment vertical="center" wrapText="1"/>
    </xf>
    <xf numFmtId="38" fontId="21" fillId="10" borderId="1" xfId="1" applyFont="1" applyFill="1" applyBorder="1" applyAlignment="1"/>
    <xf numFmtId="38" fontId="14" fillId="10" borderId="1" xfId="1" applyFont="1" applyFill="1" applyBorder="1" applyAlignment="1"/>
    <xf numFmtId="0" fontId="20" fillId="0" borderId="7" xfId="0" applyFont="1" applyBorder="1" applyAlignment="1">
      <alignment vertical="center" wrapText="1"/>
    </xf>
    <xf numFmtId="38" fontId="12" fillId="9" borderId="1" xfId="1" applyFont="1" applyFill="1" applyBorder="1" applyAlignment="1"/>
    <xf numFmtId="38" fontId="14" fillId="0" borderId="3" xfId="1" applyFont="1" applyBorder="1" applyAlignment="1"/>
    <xf numFmtId="0" fontId="15" fillId="0" borderId="13" xfId="0" applyFont="1" applyBorder="1"/>
    <xf numFmtId="38" fontId="14" fillId="0" borderId="1" xfId="1" applyFont="1" applyBorder="1" applyAlignment="1"/>
    <xf numFmtId="0" fontId="13" fillId="0" borderId="0" xfId="0" applyFont="1" applyAlignment="1">
      <alignment vertical="top" wrapText="1"/>
    </xf>
    <xf numFmtId="9" fontId="9" fillId="0" borderId="0" xfId="2" applyFont="1" applyAlignment="1">
      <alignment vertical="center"/>
    </xf>
    <xf numFmtId="9" fontId="9" fillId="0" borderId="0" xfId="2" applyFont="1" applyAlignment="1">
      <alignment vertical="center" wrapText="1"/>
    </xf>
    <xf numFmtId="9" fontId="17" fillId="0" borderId="0" xfId="0" applyNumberFormat="1" applyFont="1" applyAlignment="1">
      <alignment vertical="center" wrapText="1"/>
    </xf>
    <xf numFmtId="38" fontId="22" fillId="9" borderId="0" xfId="0" applyNumberFormat="1" applyFont="1" applyFill="1" applyAlignment="1">
      <alignment vertical="center" wrapText="1"/>
    </xf>
    <xf numFmtId="38" fontId="18" fillId="0" borderId="0" xfId="0" applyNumberFormat="1" applyFont="1" applyFill="1" applyAlignment="1">
      <alignment vertical="center" wrapText="1"/>
    </xf>
    <xf numFmtId="38" fontId="18" fillId="0" borderId="0" xfId="0" applyNumberFormat="1" applyFont="1" applyAlignment="1">
      <alignment vertical="center" wrapText="1"/>
    </xf>
    <xf numFmtId="38" fontId="22" fillId="10" borderId="0" xfId="0" applyNumberFormat="1" applyFont="1" applyFill="1" applyAlignment="1">
      <alignment vertical="center" wrapText="1"/>
    </xf>
    <xf numFmtId="38" fontId="17" fillId="0" borderId="0" xfId="1" applyFont="1" applyAlignment="1">
      <alignment vertical="center" wrapText="1"/>
    </xf>
    <xf numFmtId="0" fontId="13" fillId="0" borderId="0" xfId="0" applyFont="1" applyAlignment="1">
      <alignment vertical="top" wrapText="1"/>
    </xf>
    <xf numFmtId="0" fontId="13" fillId="0" borderId="0" xfId="0" applyFont="1" applyAlignment="1">
      <alignment vertical="center"/>
    </xf>
    <xf numFmtId="38" fontId="23" fillId="0" borderId="0" xfId="1" applyFont="1" applyAlignment="1">
      <alignment vertical="center"/>
    </xf>
    <xf numFmtId="38" fontId="23" fillId="8" borderId="0" xfId="1" applyFont="1" applyFill="1" applyAlignment="1">
      <alignment vertical="center"/>
    </xf>
    <xf numFmtId="38" fontId="17" fillId="0" borderId="0" xfId="0" applyNumberFormat="1" applyFont="1" applyAlignment="1">
      <alignment vertical="center" wrapText="1"/>
    </xf>
    <xf numFmtId="0" fontId="25" fillId="0" borderId="0" xfId="0" applyFont="1" applyAlignment="1">
      <alignment vertical="center" wrapText="1"/>
    </xf>
    <xf numFmtId="0" fontId="8" fillId="0" borderId="1" xfId="12" applyFont="1" applyBorder="1" applyAlignment="1">
      <alignment vertical="top" wrapText="1"/>
    </xf>
    <xf numFmtId="0" fontId="9" fillId="0" borderId="0" xfId="12" applyFont="1" applyAlignment="1">
      <alignment vertical="top" wrapText="1"/>
    </xf>
    <xf numFmtId="0" fontId="9" fillId="0" borderId="1" xfId="12" applyFont="1" applyBorder="1" applyAlignment="1">
      <alignment vertical="top" wrapText="1"/>
    </xf>
    <xf numFmtId="0" fontId="9" fillId="0" borderId="0" xfId="12" applyFont="1" applyAlignment="1">
      <alignment vertical="top"/>
    </xf>
    <xf numFmtId="0" fontId="8" fillId="0" borderId="0" xfId="12" applyFont="1" applyAlignment="1">
      <alignment vertical="top"/>
    </xf>
    <xf numFmtId="0" fontId="13" fillId="0" borderId="0" xfId="12" applyFont="1" applyAlignment="1">
      <alignment vertical="top"/>
    </xf>
    <xf numFmtId="0" fontId="10" fillId="5" borderId="0" xfId="5" applyFont="1" applyFill="1" applyAlignment="1">
      <alignment vertical="center" wrapText="1"/>
    </xf>
    <xf numFmtId="0" fontId="10" fillId="5" borderId="0" xfId="5" applyFont="1" applyFill="1" applyAlignment="1">
      <alignment vertical="center" wrapText="1" readingOrder="1"/>
    </xf>
    <xf numFmtId="0" fontId="10" fillId="5" borderId="0" xfId="4" applyFont="1" applyFill="1" applyAlignment="1">
      <alignment vertical="center" wrapText="1" readingOrder="1"/>
    </xf>
    <xf numFmtId="0" fontId="26" fillId="0" borderId="0" xfId="0" applyFont="1" applyAlignment="1">
      <alignment vertical="center"/>
    </xf>
    <xf numFmtId="0" fontId="14" fillId="0" borderId="0" xfId="0" applyFont="1" applyAlignment="1">
      <alignment horizontal="center" vertical="center"/>
    </xf>
    <xf numFmtId="0" fontId="9" fillId="0" borderId="1" xfId="12" applyFont="1" applyBorder="1" applyAlignment="1">
      <alignment horizontal="center" vertical="top" wrapText="1"/>
    </xf>
    <xf numFmtId="0" fontId="9" fillId="0" borderId="0" xfId="14" applyFont="1" applyAlignment="1">
      <alignment vertical="top"/>
    </xf>
    <xf numFmtId="176" fontId="0" fillId="9" borderId="0" xfId="1" applyNumberFormat="1" applyFont="1" applyFill="1" applyAlignment="1"/>
    <xf numFmtId="0" fontId="16" fillId="0" borderId="0" xfId="0" applyFont="1" applyAlignment="1">
      <alignment horizontal="center" vertical="center"/>
    </xf>
    <xf numFmtId="0" fontId="9" fillId="0" borderId="0" xfId="0" applyFont="1" applyAlignment="1">
      <alignment horizontal="center" vertical="center"/>
    </xf>
    <xf numFmtId="0" fontId="16" fillId="0" borderId="0" xfId="0" applyFont="1"/>
    <xf numFmtId="177" fontId="9" fillId="0" borderId="0" xfId="0" applyNumberFormat="1" applyFont="1"/>
    <xf numFmtId="0" fontId="8" fillId="0" borderId="1" xfId="0" applyFont="1" applyBorder="1"/>
    <xf numFmtId="177" fontId="8" fillId="0" borderId="1" xfId="0" applyNumberFormat="1" applyFont="1" applyBorder="1"/>
    <xf numFmtId="0" fontId="9" fillId="0" borderId="1" xfId="0" applyFont="1" applyBorder="1" applyAlignment="1">
      <alignment vertical="top" wrapText="1"/>
    </xf>
    <xf numFmtId="0" fontId="9" fillId="0" borderId="15" xfId="0" applyFont="1" applyBorder="1"/>
    <xf numFmtId="0" fontId="9" fillId="0" borderId="15" xfId="0" applyFont="1" applyBorder="1" applyAlignment="1">
      <alignment horizontal="center" vertical="center"/>
    </xf>
    <xf numFmtId="0" fontId="28" fillId="0" borderId="0" xfId="0" applyFont="1" applyAlignment="1">
      <alignment horizontal="center" vertical="center"/>
    </xf>
    <xf numFmtId="31" fontId="29" fillId="0" borderId="0" xfId="0" applyNumberFormat="1" applyFont="1" applyAlignment="1">
      <alignment horizontal="center" vertical="center"/>
    </xf>
    <xf numFmtId="38" fontId="14" fillId="0" borderId="0" xfId="1" applyFont="1" applyAlignment="1">
      <alignment vertical="center"/>
    </xf>
    <xf numFmtId="38" fontId="14" fillId="8" borderId="0" xfId="1" applyFont="1" applyFill="1" applyAlignment="1">
      <alignment vertical="center"/>
    </xf>
    <xf numFmtId="0" fontId="30" fillId="0" borderId="0" xfId="12" applyFont="1" applyAlignment="1">
      <alignment vertical="top"/>
    </xf>
    <xf numFmtId="0" fontId="14" fillId="0" borderId="0" xfId="12" applyFont="1" applyAlignment="1">
      <alignment vertical="top"/>
    </xf>
    <xf numFmtId="0" fontId="9" fillId="0" borderId="0" xfId="0" applyFont="1" applyAlignment="1">
      <alignment vertical="top" wrapText="1"/>
    </xf>
    <xf numFmtId="177" fontId="9" fillId="0" borderId="1" xfId="0" applyNumberFormat="1" applyFont="1" applyBorder="1" applyAlignment="1">
      <alignment vertical="top"/>
    </xf>
    <xf numFmtId="0" fontId="9" fillId="0" borderId="1" xfId="0" applyFont="1" applyBorder="1" applyAlignment="1">
      <alignment horizontal="right" vertical="top"/>
    </xf>
    <xf numFmtId="0" fontId="13" fillId="0" borderId="0" xfId="0" applyFont="1" applyAlignment="1">
      <alignment vertical="top" wrapText="1"/>
    </xf>
    <xf numFmtId="0" fontId="9" fillId="0" borderId="6" xfId="12" applyFont="1" applyBorder="1" applyAlignment="1">
      <alignment vertical="top" wrapText="1"/>
    </xf>
    <xf numFmtId="0" fontId="9" fillId="0" borderId="12" xfId="12" applyFont="1" applyBorder="1" applyAlignment="1">
      <alignment vertical="top" wrapText="1"/>
    </xf>
    <xf numFmtId="0" fontId="11" fillId="3" borderId="2" xfId="4" applyFont="1" applyBorder="1" applyAlignment="1">
      <alignment horizontal="center" vertical="center" wrapText="1"/>
    </xf>
    <xf numFmtId="0" fontId="11" fillId="3" borderId="13" xfId="4" applyFont="1" applyBorder="1" applyAlignment="1">
      <alignment horizontal="center" vertical="center" wrapText="1"/>
    </xf>
    <xf numFmtId="0" fontId="11" fillId="3" borderId="3" xfId="4" applyFont="1" applyBorder="1" applyAlignment="1">
      <alignment horizontal="center" vertical="center" wrapText="1"/>
    </xf>
    <xf numFmtId="0" fontId="13" fillId="0" borderId="0" xfId="0" applyFont="1" applyAlignment="1">
      <alignment vertical="top" wrapText="1"/>
    </xf>
    <xf numFmtId="0" fontId="8" fillId="0" borderId="6" xfId="0" applyFont="1" applyBorder="1" applyAlignment="1">
      <alignment horizontal="center" vertical="center" wrapText="1"/>
    </xf>
    <xf numFmtId="0" fontId="11" fillId="2" borderId="1" xfId="3" applyFont="1" applyBorder="1" applyAlignment="1">
      <alignment horizontal="center" vertical="center" wrapText="1"/>
    </xf>
    <xf numFmtId="0" fontId="11" fillId="3" borderId="1" xfId="4" applyFont="1" applyBorder="1" applyAlignment="1">
      <alignment horizontal="center" vertical="center" wrapText="1"/>
    </xf>
    <xf numFmtId="0" fontId="11" fillId="7" borderId="4" xfId="5" applyFont="1" applyFill="1" applyBorder="1" applyAlignment="1">
      <alignment horizontal="center" vertical="center" wrapText="1"/>
    </xf>
    <xf numFmtId="0" fontId="11" fillId="7" borderId="15" xfId="5" applyFont="1" applyFill="1" applyBorder="1" applyAlignment="1">
      <alignment horizontal="center" vertical="center" wrapText="1"/>
    </xf>
    <xf numFmtId="0" fontId="11" fillId="7" borderId="5" xfId="5" applyFont="1" applyFill="1" applyBorder="1" applyAlignment="1">
      <alignment horizontal="center" vertical="center" wrapText="1"/>
    </xf>
    <xf numFmtId="0" fontId="13" fillId="0" borderId="7" xfId="0" applyFont="1" applyBorder="1" applyAlignment="1">
      <alignment vertical="top" wrapText="1"/>
    </xf>
    <xf numFmtId="0" fontId="9" fillId="11" borderId="4" xfId="0" applyFont="1" applyFill="1" applyBorder="1" applyAlignment="1">
      <alignment vertical="top" wrapText="1"/>
    </xf>
    <xf numFmtId="0" fontId="9" fillId="11" borderId="15" xfId="0" applyFont="1" applyFill="1" applyBorder="1" applyAlignment="1">
      <alignment vertical="top" wrapText="1"/>
    </xf>
    <xf numFmtId="0" fontId="9" fillId="11" borderId="5" xfId="0" applyFont="1" applyFill="1" applyBorder="1" applyAlignment="1">
      <alignment vertical="top" wrapText="1"/>
    </xf>
    <xf numFmtId="0" fontId="9" fillId="11" borderId="7" xfId="0" applyFont="1" applyFill="1" applyBorder="1" applyAlignment="1">
      <alignment vertical="top" wrapText="1"/>
    </xf>
    <xf numFmtId="0" fontId="9" fillId="11" borderId="0" xfId="0" applyFont="1" applyFill="1" applyBorder="1" applyAlignment="1">
      <alignment vertical="top" wrapText="1"/>
    </xf>
    <xf numFmtId="0" fontId="9" fillId="11" borderId="8" xfId="0" applyFont="1" applyFill="1" applyBorder="1" applyAlignment="1">
      <alignment vertical="top" wrapText="1"/>
    </xf>
    <xf numFmtId="0" fontId="9" fillId="11" borderId="10" xfId="0" applyFont="1" applyFill="1" applyBorder="1" applyAlignment="1">
      <alignment vertical="top" wrapText="1"/>
    </xf>
    <xf numFmtId="0" fontId="9" fillId="11" borderId="16" xfId="0" applyFont="1" applyFill="1" applyBorder="1" applyAlignment="1">
      <alignment vertical="top" wrapText="1"/>
    </xf>
    <xf numFmtId="0" fontId="9" fillId="11" borderId="11" xfId="0" applyFont="1" applyFill="1" applyBorder="1" applyAlignment="1">
      <alignment vertical="top" wrapText="1"/>
    </xf>
    <xf numFmtId="0" fontId="27" fillId="5" borderId="2" xfId="0" applyFont="1" applyFill="1" applyBorder="1" applyAlignment="1">
      <alignment vertical="top" wrapText="1"/>
    </xf>
    <xf numFmtId="0" fontId="27" fillId="5" borderId="13" xfId="0" applyFont="1" applyFill="1" applyBorder="1" applyAlignment="1">
      <alignment vertical="top" wrapText="1"/>
    </xf>
    <xf numFmtId="0" fontId="27" fillId="5" borderId="3" xfId="0" applyFont="1" applyFill="1" applyBorder="1" applyAlignment="1">
      <alignment vertical="top" wrapText="1"/>
    </xf>
    <xf numFmtId="0" fontId="8" fillId="0" borderId="4" xfId="0" applyFont="1" applyBorder="1" applyAlignment="1">
      <alignment vertical="center" wrapText="1"/>
    </xf>
    <xf numFmtId="0" fontId="8" fillId="0" borderId="5" xfId="0" applyFont="1" applyBorder="1" applyAlignment="1">
      <alignment vertical="center" wrapText="1"/>
    </xf>
    <xf numFmtId="0" fontId="8" fillId="0" borderId="7" xfId="0" applyFont="1" applyBorder="1" applyAlignment="1">
      <alignment vertical="center" wrapText="1"/>
    </xf>
    <xf numFmtId="0" fontId="8" fillId="0" borderId="8" xfId="0" applyFont="1" applyBorder="1" applyAlignment="1">
      <alignment vertical="center" wrapText="1"/>
    </xf>
    <xf numFmtId="0" fontId="8" fillId="0" borderId="10" xfId="0" applyFont="1" applyBorder="1" applyAlignment="1">
      <alignment vertical="center" wrapText="1"/>
    </xf>
    <xf numFmtId="0" fontId="8" fillId="0" borderId="11" xfId="0" applyFont="1" applyBorder="1" applyAlignment="1">
      <alignment vertical="center" wrapText="1"/>
    </xf>
    <xf numFmtId="9" fontId="9" fillId="0" borderId="6" xfId="2" applyFont="1" applyFill="1" applyBorder="1" applyAlignment="1">
      <alignment vertical="center"/>
    </xf>
    <xf numFmtId="9" fontId="9" fillId="0" borderId="9" xfId="2" applyFont="1" applyFill="1" applyBorder="1" applyAlignment="1">
      <alignment vertical="center"/>
    </xf>
    <xf numFmtId="9" fontId="9" fillId="0" borderId="12" xfId="2" applyFont="1" applyFill="1" applyBorder="1" applyAlignment="1">
      <alignment vertical="center"/>
    </xf>
    <xf numFmtId="38" fontId="9" fillId="0" borderId="6" xfId="1" applyFont="1" applyFill="1" applyBorder="1" applyAlignment="1">
      <alignment vertical="center"/>
    </xf>
    <xf numFmtId="38" fontId="9" fillId="0" borderId="9" xfId="1" applyFont="1" applyFill="1" applyBorder="1" applyAlignment="1">
      <alignment vertical="center"/>
    </xf>
    <xf numFmtId="38" fontId="9" fillId="0" borderId="12" xfId="1" applyFont="1" applyFill="1" applyBorder="1" applyAlignment="1">
      <alignment vertical="center"/>
    </xf>
    <xf numFmtId="38" fontId="12" fillId="0" borderId="6" xfId="1" applyFont="1" applyFill="1" applyBorder="1">
      <alignment vertical="center"/>
    </xf>
    <xf numFmtId="38" fontId="12" fillId="0" borderId="9" xfId="1" applyFont="1" applyFill="1" applyBorder="1">
      <alignment vertical="center"/>
    </xf>
    <xf numFmtId="38" fontId="12" fillId="0" borderId="12" xfId="1" applyFont="1" applyFill="1" applyBorder="1">
      <alignment vertical="center"/>
    </xf>
    <xf numFmtId="0" fontId="8" fillId="0" borderId="6" xfId="0" applyFont="1" applyBorder="1" applyAlignment="1">
      <alignment vertical="center" wrapText="1"/>
    </xf>
    <xf numFmtId="0" fontId="8" fillId="0" borderId="1" xfId="0" applyFont="1" applyBorder="1" applyAlignment="1">
      <alignment vertical="center" wrapText="1"/>
    </xf>
    <xf numFmtId="0" fontId="8" fillId="0" borderId="12" xfId="0" applyFont="1" applyBorder="1" applyAlignment="1">
      <alignment vertical="center" wrapText="1"/>
    </xf>
    <xf numFmtId="0" fontId="11" fillId="5" borderId="2" xfId="0" applyFont="1" applyFill="1" applyBorder="1" applyAlignment="1">
      <alignment vertical="top" wrapText="1"/>
    </xf>
    <xf numFmtId="0" fontId="11" fillId="5" borderId="13" xfId="0" applyFont="1" applyFill="1" applyBorder="1" applyAlignment="1">
      <alignment vertical="top" wrapText="1"/>
    </xf>
    <xf numFmtId="0" fontId="11" fillId="5" borderId="3" xfId="0" applyFont="1" applyFill="1" applyBorder="1" applyAlignment="1">
      <alignment vertical="top" wrapText="1"/>
    </xf>
  </cellXfs>
  <cellStyles count="15">
    <cellStyle name="アクセント 2" xfId="3" builtinId="33"/>
    <cellStyle name="アクセント 4" xfId="4" builtinId="41"/>
    <cellStyle name="アクセント 6" xfId="5" builtinId="49"/>
    <cellStyle name="パーセント" xfId="2" builtinId="5"/>
    <cellStyle name="パーセント 2" xfId="8" xr:uid="{A3283FF1-D3BA-4C6D-ACA2-6597F398F233}"/>
    <cellStyle name="パーセント 2 2" xfId="11" xr:uid="{6A21782B-E449-4EEB-9B9C-B62D233D8E23}"/>
    <cellStyle name="桁区切り" xfId="1" builtinId="6"/>
    <cellStyle name="桁区切り 2" xfId="7" xr:uid="{7F8E8829-8C85-43FA-B7A4-84E3E46D504A}"/>
    <cellStyle name="桁区切り 2 2" xfId="10" xr:uid="{63B1D7DC-FCD6-481A-BFC1-A808D19ADCEE}"/>
    <cellStyle name="標準" xfId="0" builtinId="0"/>
    <cellStyle name="標準 2" xfId="6" xr:uid="{61E0D827-FBB6-4184-9237-713AACB3BB5E}"/>
    <cellStyle name="標準 2 2" xfId="9" xr:uid="{CA137A57-73AD-4DB7-9DB2-252B2818D8CE}"/>
    <cellStyle name="標準 2 3" xfId="12" xr:uid="{C3EA3768-E538-46F8-910E-47E60732A576}"/>
    <cellStyle name="標準 2 3 2" xfId="14" xr:uid="{4DBBC8C9-A323-414B-8F52-DB33F0CF3F79}"/>
    <cellStyle name="標準 3" xfId="13" xr:uid="{90908C04-CB1F-469B-8C78-7EA3B67AEC60}"/>
  </cellStyles>
  <dxfs count="234">
    <dxf>
      <font>
        <b val="0"/>
        <i val="0"/>
        <strike val="0"/>
        <condense val="0"/>
        <extend val="0"/>
        <outline val="0"/>
        <shadow val="0"/>
        <u val="none"/>
        <vertAlign val="baseline"/>
        <sz val="12"/>
        <color theme="1"/>
        <name val="Meiryo UI"/>
        <family val="3"/>
        <charset val="128"/>
        <scheme val="none"/>
      </font>
      <numFmt numFmtId="13" formatCode="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alignment horizontal="center"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alignment horizontal="center"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center"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13"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auto="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176" formatCode="#,##0.0;[Red]\-#,##0.0"/>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176" formatCode="#,##0.0;[Red]\-#,##0.0"/>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strike val="0"/>
        <outline val="0"/>
        <shadow val="0"/>
        <u val="none"/>
        <vertAlign val="baseline"/>
        <sz val="12"/>
        <color rgb="FF000000"/>
        <name val="Meiryo UI"/>
        <family val="3"/>
        <charset val="128"/>
        <scheme val="none"/>
      </font>
      <alignment vertical="center" textRotation="0" indent="0" justifyLastLine="0" shrinkToFit="0" readingOrder="0"/>
    </dxf>
    <dxf>
      <font>
        <strike val="0"/>
        <outline val="0"/>
        <shadow val="0"/>
        <u val="none"/>
        <vertAlign val="baseline"/>
        <name val="Meiryo UI"/>
        <family val="3"/>
        <charset val="128"/>
        <scheme val="none"/>
      </font>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theme="1"/>
        <name val="Meiryo UI"/>
        <family val="3"/>
        <charset val="128"/>
        <scheme val="none"/>
      </font>
      <numFmt numFmtId="13" formatCode="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7"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rgb="FFC00000"/>
        <name val="Meiryo UI"/>
        <family val="3"/>
        <charset val="128"/>
        <scheme val="none"/>
      </font>
      <numFmt numFmtId="6" formatCode="#,##0;[Red]\-#,##0"/>
      <fill>
        <patternFill patternType="solid">
          <fgColor indexed="64"/>
          <bgColor theme="9" tint="0.79998168889431442"/>
        </patternFill>
      </fill>
      <alignment horizontal="general" vertical="center" textRotation="0" wrapText="1"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alignment horizontal="center"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alignment horizontal="center"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center"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numFmt numFmtId="6" formatCode="#,##0;[Red]\-#,##0"/>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13"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numFmt numFmtId="6" formatCode="#,##0;[Red]\-#,##0"/>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auto="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176" formatCode="#,##0.0;[Red]\-#,##0.0"/>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numFmt numFmtId="176" formatCode="#,##0.0;[Red]\-#,##0.0"/>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Meiryo UI"/>
        <family val="3"/>
        <charset val="128"/>
        <scheme val="none"/>
      </font>
      <alignment horizontal="general" vertical="center" textRotation="0" wrapText="1"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b val="0"/>
        <i val="0"/>
        <strike val="0"/>
        <condense val="0"/>
        <extend val="0"/>
        <outline val="0"/>
        <shadow val="0"/>
        <u val="none"/>
        <vertAlign val="baseline"/>
        <sz val="12"/>
        <color theme="1"/>
        <name val="Meiryo UI"/>
        <family val="3"/>
        <charset val="128"/>
        <scheme val="none"/>
      </font>
      <alignment horizontal="general" vertical="center" textRotation="0" wrapText="0" indent="0" justifyLastLine="0" shrinkToFit="0" readingOrder="0"/>
    </dxf>
    <dxf>
      <font>
        <strike val="0"/>
        <outline val="0"/>
        <shadow val="0"/>
        <u val="none"/>
        <vertAlign val="baseline"/>
        <name val="Meiryo UI"/>
        <family val="3"/>
        <charset val="128"/>
        <scheme val="none"/>
      </font>
    </dxf>
    <dxf>
      <font>
        <strike val="0"/>
        <outline val="0"/>
        <shadow val="0"/>
        <u val="none"/>
        <vertAlign val="baseline"/>
        <sz val="12"/>
        <color rgb="FF000000"/>
        <name val="Meiryo UI"/>
        <family val="3"/>
        <charset val="128"/>
        <scheme val="none"/>
      </font>
      <alignment vertical="center" textRotation="0" indent="0" justifyLastLine="0" shrinkToFit="0" readingOrder="0"/>
    </dxf>
    <dxf>
      <font>
        <strike val="0"/>
        <outline val="0"/>
        <shadow val="0"/>
        <u val="none"/>
        <vertAlign val="baseline"/>
        <name val="Meiryo UI"/>
        <family val="3"/>
        <charset val="128"/>
        <scheme val="none"/>
      </font>
    </dxf>
    <dxf>
      <font>
        <strike val="0"/>
        <outline val="0"/>
        <shadow val="0"/>
        <u val="none"/>
        <vertAlign val="baseline"/>
        <name val="Meiryo UI"/>
        <family val="3"/>
        <charset val="128"/>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2"/>
          <c:order val="0"/>
          <c:tx>
            <c:strRef>
              <c:f>'3-2．評価結果　総合評価'!$G$1</c:f>
              <c:strCache>
                <c:ptCount val="1"/>
                <c:pt idx="0">
                  <c:v>点数</c:v>
                </c:pt>
              </c:strCache>
            </c:strRef>
          </c:tx>
          <c:spPr>
            <a:solidFill>
              <a:schemeClr val="accent2"/>
            </a:solidFill>
            <a:ln>
              <a:noFill/>
            </a:ln>
            <a:effectLst/>
          </c:spPr>
          <c:invertIfNegative val="0"/>
          <c:cat>
            <c:strRef>
              <c:f>'3-2．評価結果　総合評価'!$C$2:$C$7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総合評価'!$G$2:$G$7</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4B1D-4003-B811-6626DE7CDD65}"/>
            </c:ext>
          </c:extLst>
        </c:ser>
        <c:ser>
          <c:idx val="0"/>
          <c:order val="1"/>
          <c:tx>
            <c:strRef>
              <c:f>'3-2．評価結果　総合評価'!$I$1</c:f>
              <c:strCache>
                <c:ptCount val="1"/>
                <c:pt idx="0">
                  <c:v>配点</c:v>
                </c:pt>
              </c:strCache>
            </c:strRef>
          </c:tx>
          <c:spPr>
            <a:solidFill>
              <a:schemeClr val="accent3"/>
            </a:solidFill>
            <a:ln>
              <a:noFill/>
            </a:ln>
            <a:effectLst/>
          </c:spPr>
          <c:invertIfNegative val="0"/>
          <c:cat>
            <c:strRef>
              <c:f>'3-2．評価結果　総合評価'!$C$2:$C$7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総合評価'!$I$2:$I$7</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4B1D-4003-B811-6626DE7CDD65}"/>
            </c:ext>
          </c:extLst>
        </c:ser>
        <c:dLbls>
          <c:showLegendKey val="0"/>
          <c:showVal val="0"/>
          <c:showCatName val="0"/>
          <c:showSerName val="0"/>
          <c:showPercent val="0"/>
          <c:showBubbleSize val="0"/>
        </c:dLbls>
        <c:gapWidth val="219"/>
        <c:axId val="418314664"/>
        <c:axId val="418316632"/>
      </c:barChart>
      <c:lineChart>
        <c:grouping val="standard"/>
        <c:varyColors val="0"/>
        <c:ser>
          <c:idx val="1"/>
          <c:order val="2"/>
          <c:tx>
            <c:strRef>
              <c:f>'3-2．評価結果　総合評価'!$E$1</c:f>
              <c:strCache>
                <c:ptCount val="1"/>
                <c:pt idx="0">
                  <c:v>割合（%）</c:v>
                </c:pt>
              </c:strCache>
            </c:strRef>
          </c:tx>
          <c:spPr>
            <a:ln w="28575" cap="rnd">
              <a:solidFill>
                <a:schemeClr val="accent1"/>
              </a:solidFill>
              <a:round/>
            </a:ln>
            <a:effectLst/>
          </c:spPr>
          <c:marker>
            <c:symbol val="none"/>
          </c:marker>
          <c:cat>
            <c:strRef>
              <c:f>'3-2．評価結果　総合評価'!$C$2:$C$7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総合評価'!$E$2:$E$7</c:f>
              <c:numCache>
                <c:formatCode>0%</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2-4B1D-4003-B811-6626DE7CDD65}"/>
            </c:ext>
          </c:extLst>
        </c:ser>
        <c:dLbls>
          <c:showLegendKey val="0"/>
          <c:showVal val="0"/>
          <c:showCatName val="0"/>
          <c:showSerName val="0"/>
          <c:showPercent val="0"/>
          <c:showBubbleSize val="0"/>
        </c:dLbls>
        <c:marker val="1"/>
        <c:smooth val="0"/>
        <c:axId val="418823312"/>
        <c:axId val="418828232"/>
      </c:lineChart>
      <c:catAx>
        <c:axId val="41831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6632"/>
        <c:crosses val="autoZero"/>
        <c:auto val="1"/>
        <c:lblAlgn val="ctr"/>
        <c:lblOffset val="100"/>
        <c:noMultiLvlLbl val="0"/>
      </c:catAx>
      <c:valAx>
        <c:axId val="418316632"/>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4664"/>
        <c:crosses val="autoZero"/>
        <c:crossBetween val="between"/>
      </c:valAx>
      <c:valAx>
        <c:axId val="418828232"/>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823312"/>
        <c:crosses val="max"/>
        <c:crossBetween val="between"/>
      </c:valAx>
      <c:catAx>
        <c:axId val="418823312"/>
        <c:scaling>
          <c:orientation val="minMax"/>
        </c:scaling>
        <c:delete val="1"/>
        <c:axPos val="b"/>
        <c:numFmt formatCode="General" sourceLinked="1"/>
        <c:majorTickMark val="out"/>
        <c:minorTickMark val="none"/>
        <c:tickLblPos val="nextTo"/>
        <c:crossAx val="41882823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1"/>
          <c:order val="1"/>
          <c:tx>
            <c:strRef>
              <c:f>'3-2．評価結果　総合評価'!$G$1</c:f>
              <c:strCache>
                <c:ptCount val="1"/>
                <c:pt idx="0">
                  <c:v>点数</c:v>
                </c:pt>
              </c:strCache>
            </c:strRef>
          </c:tx>
          <c:spPr>
            <a:ln w="28575" cap="rnd">
              <a:solidFill>
                <a:schemeClr val="accent2"/>
              </a:solidFill>
              <a:round/>
            </a:ln>
            <a:effectLst/>
          </c:spPr>
          <c:marker>
            <c:symbol val="none"/>
          </c:marker>
          <c:cat>
            <c:strRef>
              <c:f>'3-2．評価結果　総合評価'!$C$2:$C$7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総合評価'!$G$2:$G$7</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6B50-4DE3-AC1C-20DC4563D476}"/>
            </c:ext>
          </c:extLst>
        </c:ser>
        <c:ser>
          <c:idx val="2"/>
          <c:order val="2"/>
          <c:tx>
            <c:strRef>
              <c:f>'3-2．評価結果　総合評価'!$I$1</c:f>
              <c:strCache>
                <c:ptCount val="1"/>
                <c:pt idx="0">
                  <c:v>配点</c:v>
                </c:pt>
              </c:strCache>
            </c:strRef>
          </c:tx>
          <c:spPr>
            <a:ln w="28575" cap="rnd">
              <a:solidFill>
                <a:schemeClr val="accent3"/>
              </a:solidFill>
              <a:round/>
            </a:ln>
            <a:effectLst/>
          </c:spPr>
          <c:marker>
            <c:symbol val="none"/>
          </c:marker>
          <c:cat>
            <c:strRef>
              <c:f>'3-2．評価結果　総合評価'!$C$2:$C$7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総合評価'!$I$2:$I$7</c:f>
              <c:numCache>
                <c:formatCode>#,##0_);[Red]\(#,##0\)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6B50-4DE3-AC1C-20DC4563D476}"/>
            </c:ext>
          </c:extLst>
        </c:ser>
        <c:dLbls>
          <c:showLegendKey val="0"/>
          <c:showVal val="0"/>
          <c:showCatName val="0"/>
          <c:showSerName val="0"/>
          <c:showPercent val="0"/>
          <c:showBubbleSize val="0"/>
        </c:dLbls>
        <c:axId val="683149656"/>
        <c:axId val="683151624"/>
      </c:radarChart>
      <c:radarChart>
        <c:radarStyle val="marker"/>
        <c:varyColors val="0"/>
        <c:ser>
          <c:idx val="0"/>
          <c:order val="0"/>
          <c:tx>
            <c:strRef>
              <c:f>'3-2．評価結果　総合評価'!$E$1</c:f>
              <c:strCache>
                <c:ptCount val="1"/>
                <c:pt idx="0">
                  <c:v>割合（%）</c:v>
                </c:pt>
              </c:strCache>
            </c:strRef>
          </c:tx>
          <c:spPr>
            <a:ln w="28575" cap="rnd">
              <a:solidFill>
                <a:schemeClr val="accent1"/>
              </a:solidFill>
              <a:prstDash val="solid"/>
              <a:round/>
            </a:ln>
            <a:effectLst/>
          </c:spPr>
          <c:marker>
            <c:symbol val="none"/>
          </c:marker>
          <c:cat>
            <c:strRef>
              <c:f>'3-2．評価結果　総合評価'!$C$2:$C$7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総合評価'!$E$2:$E$7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6B50-4DE3-AC1C-20DC4563D476}"/>
            </c:ext>
          </c:extLst>
        </c:ser>
        <c:dLbls>
          <c:showLegendKey val="0"/>
          <c:showVal val="0"/>
          <c:showCatName val="0"/>
          <c:showSerName val="0"/>
          <c:showPercent val="0"/>
          <c:showBubbleSize val="0"/>
        </c:dLbls>
        <c:axId val="683142440"/>
        <c:axId val="683143752"/>
      </c:radarChart>
      <c:catAx>
        <c:axId val="683149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51624"/>
        <c:crosses val="autoZero"/>
        <c:auto val="1"/>
        <c:lblAlgn val="ctr"/>
        <c:lblOffset val="100"/>
        <c:noMultiLvlLbl val="0"/>
      </c:catAx>
      <c:valAx>
        <c:axId val="6831516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solidFill>
              <a:schemeClr val="bg1">
                <a:lumMod val="75000"/>
              </a:schemeClr>
            </a:solidFill>
          </a:ln>
          <a:effectLst/>
        </c:spPr>
        <c:txPr>
          <a:bodyPr rot="-1200000" spcFirstLastPara="1" vertOverflow="ellipsis" wrap="square" anchor="ctr" anchorCtr="1"/>
          <a:lstStyle/>
          <a:p>
            <a:pPr>
              <a:defRPr sz="1000" b="0" i="0" u="none" strike="noStrike" kern="1200" baseline="0">
                <a:solidFill>
                  <a:schemeClr val="tx1">
                    <a:lumMod val="65000"/>
                    <a:lumOff val="35000"/>
                  </a:schemeClr>
                </a:solidFill>
                <a:latin typeface="+mn-lt"/>
                <a:ea typeface="Meiryo UI" panose="020B0604030504040204" pitchFamily="50" charset="-128"/>
                <a:cs typeface="+mn-cs"/>
              </a:defRPr>
            </a:pPr>
            <a:endParaRPr lang="ja-JP"/>
          </a:p>
        </c:txPr>
        <c:crossAx val="683149656"/>
        <c:crosses val="autoZero"/>
        <c:crossBetween val="between"/>
      </c:valAx>
      <c:valAx>
        <c:axId val="683143752"/>
        <c:scaling>
          <c:orientation val="minMax"/>
          <c:max val="1"/>
        </c:scaling>
        <c:delete val="0"/>
        <c:axPos val="l"/>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eiryo UI" panose="020B0604030504040204" pitchFamily="50" charset="-128"/>
                <a:cs typeface="+mn-cs"/>
              </a:defRPr>
            </a:pPr>
            <a:endParaRPr lang="ja-JP"/>
          </a:p>
        </c:txPr>
        <c:crossAx val="683142440"/>
        <c:crosses val="max"/>
        <c:crossBetween val="between"/>
        <c:majorUnit val="0.25"/>
      </c:valAx>
      <c:catAx>
        <c:axId val="6831424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one"/>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43752"/>
        <c:crosses val="max"/>
        <c:auto val="1"/>
        <c:lblAlgn val="ctr"/>
        <c:lblOffset val="100"/>
        <c:noMultiLvlLbl val="0"/>
      </c:catAx>
      <c:spPr>
        <a:noFill/>
        <a:ln>
          <a:noFill/>
        </a:ln>
        <a:effectLst/>
      </c:spPr>
    </c:plotArea>
    <c:legend>
      <c:legendPos val="r"/>
      <c:overlay val="1"/>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2"/>
          <c:order val="0"/>
          <c:tx>
            <c:strRef>
              <c:f>'3-2．評価結果　総合評価 (記入例)'!$G$1</c:f>
              <c:strCache>
                <c:ptCount val="1"/>
                <c:pt idx="0">
                  <c:v>点数</c:v>
                </c:pt>
              </c:strCache>
            </c:strRef>
          </c:tx>
          <c:spPr>
            <a:solidFill>
              <a:schemeClr val="accent2"/>
            </a:solidFill>
            <a:ln>
              <a:noFill/>
            </a:ln>
            <a:effectLst/>
          </c:spPr>
          <c:invertIfNegative val="0"/>
          <c:cat>
            <c:strRef>
              <c:f>'3-2．評価結果　総合評価 (記入例)'!$C$2:$C$7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 (記入例)'!$G$2:$G$7</c:f>
              <c:numCache>
                <c:formatCode>#,##0_);[Red]\(#,##0\)</c:formatCode>
                <c:ptCount val="6"/>
                <c:pt idx="0">
                  <c:v>20.945454545454545</c:v>
                </c:pt>
                <c:pt idx="1">
                  <c:v>35.78947368421052</c:v>
                </c:pt>
                <c:pt idx="2">
                  <c:v>26.586466165413533</c:v>
                </c:pt>
                <c:pt idx="3">
                  <c:v>57.478260869565226</c:v>
                </c:pt>
                <c:pt idx="4">
                  <c:v>90.782608695652158</c:v>
                </c:pt>
                <c:pt idx="5">
                  <c:v>134.83606557377053</c:v>
                </c:pt>
              </c:numCache>
            </c:numRef>
          </c:val>
          <c:extLst>
            <c:ext xmlns:c16="http://schemas.microsoft.com/office/drawing/2014/chart" uri="{C3380CC4-5D6E-409C-BE32-E72D297353CC}">
              <c16:uniqueId val="{00000000-6D8A-45FF-AD0C-AE2DF190EB46}"/>
            </c:ext>
          </c:extLst>
        </c:ser>
        <c:ser>
          <c:idx val="0"/>
          <c:order val="1"/>
          <c:tx>
            <c:strRef>
              <c:f>'3-2．評価結果　総合評価 (記入例)'!$I$1</c:f>
              <c:strCache>
                <c:ptCount val="1"/>
                <c:pt idx="0">
                  <c:v>配点</c:v>
                </c:pt>
              </c:strCache>
            </c:strRef>
          </c:tx>
          <c:spPr>
            <a:solidFill>
              <a:schemeClr val="accent3"/>
            </a:solidFill>
            <a:ln>
              <a:noFill/>
            </a:ln>
            <a:effectLst/>
          </c:spPr>
          <c:invertIfNegative val="0"/>
          <c:cat>
            <c:strRef>
              <c:f>'3-2．評価結果　総合評価 (記入例)'!$C$2:$C$7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 (記入例)'!$I$2:$I$7</c:f>
              <c:numCache>
                <c:formatCode>#,##0_);[Red]\(#,##0\)</c:formatCode>
                <c:ptCount val="6"/>
                <c:pt idx="0">
                  <c:v>90</c:v>
                </c:pt>
                <c:pt idx="1">
                  <c:v>80</c:v>
                </c:pt>
                <c:pt idx="2">
                  <c:v>80</c:v>
                </c:pt>
                <c:pt idx="3">
                  <c:v>150</c:v>
                </c:pt>
                <c:pt idx="4">
                  <c:v>150</c:v>
                </c:pt>
                <c:pt idx="5">
                  <c:v>250</c:v>
                </c:pt>
              </c:numCache>
            </c:numRef>
          </c:val>
          <c:extLst>
            <c:ext xmlns:c16="http://schemas.microsoft.com/office/drawing/2014/chart" uri="{C3380CC4-5D6E-409C-BE32-E72D297353CC}">
              <c16:uniqueId val="{00000001-6D8A-45FF-AD0C-AE2DF190EB46}"/>
            </c:ext>
          </c:extLst>
        </c:ser>
        <c:dLbls>
          <c:showLegendKey val="0"/>
          <c:showVal val="0"/>
          <c:showCatName val="0"/>
          <c:showSerName val="0"/>
          <c:showPercent val="0"/>
          <c:showBubbleSize val="0"/>
        </c:dLbls>
        <c:gapWidth val="219"/>
        <c:axId val="418314664"/>
        <c:axId val="418316632"/>
      </c:barChart>
      <c:lineChart>
        <c:grouping val="standard"/>
        <c:varyColors val="0"/>
        <c:ser>
          <c:idx val="1"/>
          <c:order val="2"/>
          <c:tx>
            <c:strRef>
              <c:f>'3-2．評価結果　総合評価 (記入例)'!$E$1</c:f>
              <c:strCache>
                <c:ptCount val="1"/>
                <c:pt idx="0">
                  <c:v>割合（%）</c:v>
                </c:pt>
              </c:strCache>
            </c:strRef>
          </c:tx>
          <c:spPr>
            <a:ln w="28575" cap="rnd">
              <a:solidFill>
                <a:schemeClr val="accent1"/>
              </a:solidFill>
              <a:round/>
            </a:ln>
            <a:effectLst/>
          </c:spPr>
          <c:marker>
            <c:symbol val="none"/>
          </c:marker>
          <c:cat>
            <c:strRef>
              <c:f>'3-2．評価結果　総合評価 (記入例)'!$C$2:$C$7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 (記入例)'!$E$2:$E$7</c:f>
              <c:numCache>
                <c:formatCode>0%</c:formatCode>
                <c:ptCount val="6"/>
                <c:pt idx="0">
                  <c:v>0.23272727272727273</c:v>
                </c:pt>
                <c:pt idx="1">
                  <c:v>0.44736842105263153</c:v>
                </c:pt>
                <c:pt idx="2">
                  <c:v>0.33233082706766914</c:v>
                </c:pt>
                <c:pt idx="3">
                  <c:v>0.38318840579710151</c:v>
                </c:pt>
                <c:pt idx="4">
                  <c:v>0.60521739130434771</c:v>
                </c:pt>
                <c:pt idx="5">
                  <c:v>0.53934426229508214</c:v>
                </c:pt>
              </c:numCache>
            </c:numRef>
          </c:val>
          <c:smooth val="0"/>
          <c:extLst>
            <c:ext xmlns:c16="http://schemas.microsoft.com/office/drawing/2014/chart" uri="{C3380CC4-5D6E-409C-BE32-E72D297353CC}">
              <c16:uniqueId val="{00000002-6D8A-45FF-AD0C-AE2DF190EB46}"/>
            </c:ext>
          </c:extLst>
        </c:ser>
        <c:dLbls>
          <c:showLegendKey val="0"/>
          <c:showVal val="0"/>
          <c:showCatName val="0"/>
          <c:showSerName val="0"/>
          <c:showPercent val="0"/>
          <c:showBubbleSize val="0"/>
        </c:dLbls>
        <c:marker val="1"/>
        <c:smooth val="0"/>
        <c:axId val="418823312"/>
        <c:axId val="418828232"/>
      </c:lineChart>
      <c:catAx>
        <c:axId val="41831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6632"/>
        <c:crosses val="autoZero"/>
        <c:auto val="1"/>
        <c:lblAlgn val="ctr"/>
        <c:lblOffset val="100"/>
        <c:noMultiLvlLbl val="0"/>
      </c:catAx>
      <c:valAx>
        <c:axId val="418316632"/>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4664"/>
        <c:crosses val="autoZero"/>
        <c:crossBetween val="between"/>
      </c:valAx>
      <c:valAx>
        <c:axId val="418828232"/>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823312"/>
        <c:crosses val="max"/>
        <c:crossBetween val="between"/>
      </c:valAx>
      <c:catAx>
        <c:axId val="418823312"/>
        <c:scaling>
          <c:orientation val="minMax"/>
        </c:scaling>
        <c:delete val="1"/>
        <c:axPos val="b"/>
        <c:numFmt formatCode="General" sourceLinked="1"/>
        <c:majorTickMark val="out"/>
        <c:minorTickMark val="none"/>
        <c:tickLblPos val="nextTo"/>
        <c:crossAx val="41882823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1"/>
          <c:order val="1"/>
          <c:tx>
            <c:strRef>
              <c:f>'3-2．評価結果　総合評価 (記入例)'!$G$1</c:f>
              <c:strCache>
                <c:ptCount val="1"/>
                <c:pt idx="0">
                  <c:v>点数</c:v>
                </c:pt>
              </c:strCache>
            </c:strRef>
          </c:tx>
          <c:spPr>
            <a:ln w="28575" cap="rnd">
              <a:solidFill>
                <a:schemeClr val="accent2"/>
              </a:solidFill>
              <a:round/>
            </a:ln>
            <a:effectLst/>
          </c:spPr>
          <c:marker>
            <c:symbol val="none"/>
          </c:marker>
          <c:cat>
            <c:strRef>
              <c:f>'3-2．評価結果　総合評価 (記入例)'!$C$2:$C$7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 (記入例)'!$G$2:$G$7</c:f>
              <c:numCache>
                <c:formatCode>#,##0_);[Red]\(#,##0\)</c:formatCode>
                <c:ptCount val="6"/>
                <c:pt idx="0">
                  <c:v>20.945454545454545</c:v>
                </c:pt>
                <c:pt idx="1">
                  <c:v>35.78947368421052</c:v>
                </c:pt>
                <c:pt idx="2">
                  <c:v>26.586466165413533</c:v>
                </c:pt>
                <c:pt idx="3">
                  <c:v>57.478260869565226</c:v>
                </c:pt>
                <c:pt idx="4">
                  <c:v>90.782608695652158</c:v>
                </c:pt>
                <c:pt idx="5">
                  <c:v>134.83606557377053</c:v>
                </c:pt>
              </c:numCache>
            </c:numRef>
          </c:val>
          <c:extLst>
            <c:ext xmlns:c16="http://schemas.microsoft.com/office/drawing/2014/chart" uri="{C3380CC4-5D6E-409C-BE32-E72D297353CC}">
              <c16:uniqueId val="{00000000-8FEB-40E3-8FC8-4D67B313069C}"/>
            </c:ext>
          </c:extLst>
        </c:ser>
        <c:ser>
          <c:idx val="2"/>
          <c:order val="2"/>
          <c:tx>
            <c:strRef>
              <c:f>'3-2．評価結果　総合評価 (記入例)'!$I$1</c:f>
              <c:strCache>
                <c:ptCount val="1"/>
                <c:pt idx="0">
                  <c:v>配点</c:v>
                </c:pt>
              </c:strCache>
            </c:strRef>
          </c:tx>
          <c:spPr>
            <a:ln w="28575" cap="rnd">
              <a:solidFill>
                <a:schemeClr val="accent3"/>
              </a:solidFill>
              <a:round/>
            </a:ln>
            <a:effectLst/>
          </c:spPr>
          <c:marker>
            <c:symbol val="none"/>
          </c:marker>
          <c:cat>
            <c:strRef>
              <c:f>'3-2．評価結果　総合評価 (記入例)'!$C$2:$C$7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 (記入例)'!$I$2:$I$7</c:f>
              <c:numCache>
                <c:formatCode>#,##0_);[Red]\(#,##0\)</c:formatCode>
                <c:ptCount val="6"/>
                <c:pt idx="0">
                  <c:v>90</c:v>
                </c:pt>
                <c:pt idx="1">
                  <c:v>80</c:v>
                </c:pt>
                <c:pt idx="2">
                  <c:v>80</c:v>
                </c:pt>
                <c:pt idx="3">
                  <c:v>150</c:v>
                </c:pt>
                <c:pt idx="4">
                  <c:v>150</c:v>
                </c:pt>
                <c:pt idx="5">
                  <c:v>250</c:v>
                </c:pt>
              </c:numCache>
            </c:numRef>
          </c:val>
          <c:extLst>
            <c:ext xmlns:c16="http://schemas.microsoft.com/office/drawing/2014/chart" uri="{C3380CC4-5D6E-409C-BE32-E72D297353CC}">
              <c16:uniqueId val="{00000001-8FEB-40E3-8FC8-4D67B313069C}"/>
            </c:ext>
          </c:extLst>
        </c:ser>
        <c:dLbls>
          <c:showLegendKey val="0"/>
          <c:showVal val="0"/>
          <c:showCatName val="0"/>
          <c:showSerName val="0"/>
          <c:showPercent val="0"/>
          <c:showBubbleSize val="0"/>
        </c:dLbls>
        <c:axId val="683149656"/>
        <c:axId val="683151624"/>
      </c:radarChart>
      <c:radarChart>
        <c:radarStyle val="marker"/>
        <c:varyColors val="0"/>
        <c:ser>
          <c:idx val="0"/>
          <c:order val="0"/>
          <c:tx>
            <c:strRef>
              <c:f>'3-2．評価結果　総合評価 (記入例)'!$E$1</c:f>
              <c:strCache>
                <c:ptCount val="1"/>
                <c:pt idx="0">
                  <c:v>割合（%）</c:v>
                </c:pt>
              </c:strCache>
            </c:strRef>
          </c:tx>
          <c:spPr>
            <a:ln w="28575" cap="rnd">
              <a:solidFill>
                <a:schemeClr val="accent1"/>
              </a:solidFill>
              <a:prstDash val="solid"/>
              <a:round/>
            </a:ln>
            <a:effectLst/>
          </c:spPr>
          <c:marker>
            <c:symbol val="none"/>
          </c:marker>
          <c:cat>
            <c:strRef>
              <c:f>'3-2．評価結果　総合評価 (記入例)'!$C$2:$C$7</c:f>
              <c:strCache>
                <c:ptCount val="6"/>
                <c:pt idx="0">
                  <c:v>データ活用性</c:v>
                </c:pt>
                <c:pt idx="1">
                  <c:v>アジリティ</c:v>
                </c:pt>
                <c:pt idx="2">
                  <c:v>スピード</c:v>
                </c:pt>
                <c:pt idx="3">
                  <c:v>利用品質</c:v>
                </c:pt>
                <c:pt idx="4">
                  <c:v>開発品質</c:v>
                </c:pt>
                <c:pt idx="5">
                  <c:v>IT資産の健全性</c:v>
                </c:pt>
              </c:strCache>
            </c:strRef>
          </c:cat>
          <c:val>
            <c:numRef>
              <c:f>'3-2．評価結果　総合評価 (記入例)'!$E$2:$E$7</c:f>
              <c:numCache>
                <c:formatCode>0%</c:formatCode>
                <c:ptCount val="6"/>
                <c:pt idx="0">
                  <c:v>0.23272727272727273</c:v>
                </c:pt>
                <c:pt idx="1">
                  <c:v>0.44736842105263153</c:v>
                </c:pt>
                <c:pt idx="2">
                  <c:v>0.33233082706766914</c:v>
                </c:pt>
                <c:pt idx="3">
                  <c:v>0.38318840579710151</c:v>
                </c:pt>
                <c:pt idx="4">
                  <c:v>0.60521739130434771</c:v>
                </c:pt>
                <c:pt idx="5">
                  <c:v>0.53934426229508214</c:v>
                </c:pt>
              </c:numCache>
            </c:numRef>
          </c:val>
          <c:extLst>
            <c:ext xmlns:c16="http://schemas.microsoft.com/office/drawing/2014/chart" uri="{C3380CC4-5D6E-409C-BE32-E72D297353CC}">
              <c16:uniqueId val="{00000002-8FEB-40E3-8FC8-4D67B313069C}"/>
            </c:ext>
          </c:extLst>
        </c:ser>
        <c:dLbls>
          <c:showLegendKey val="0"/>
          <c:showVal val="0"/>
          <c:showCatName val="0"/>
          <c:showSerName val="0"/>
          <c:showPercent val="0"/>
          <c:showBubbleSize val="0"/>
        </c:dLbls>
        <c:axId val="683142440"/>
        <c:axId val="683143752"/>
      </c:radarChart>
      <c:catAx>
        <c:axId val="683149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51624"/>
        <c:crosses val="autoZero"/>
        <c:auto val="1"/>
        <c:lblAlgn val="ctr"/>
        <c:lblOffset val="100"/>
        <c:noMultiLvlLbl val="0"/>
      </c:catAx>
      <c:valAx>
        <c:axId val="6831516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solidFill>
              <a:schemeClr val="bg1">
                <a:lumMod val="75000"/>
              </a:schemeClr>
            </a:solidFill>
          </a:ln>
          <a:effectLst/>
        </c:spPr>
        <c:txPr>
          <a:bodyPr rot="-1320000" spcFirstLastPara="1" vertOverflow="ellipsis" wrap="square" anchor="ctr" anchorCtr="1"/>
          <a:lstStyle/>
          <a:p>
            <a:pPr>
              <a:defRPr sz="1000" b="0" i="0" u="none" strike="noStrike" kern="1200" baseline="0">
                <a:solidFill>
                  <a:schemeClr val="tx1">
                    <a:lumMod val="65000"/>
                    <a:lumOff val="35000"/>
                  </a:schemeClr>
                </a:solidFill>
                <a:latin typeface="+mn-lt"/>
                <a:ea typeface="Meiryo UI" panose="020B0604030504040204" pitchFamily="50" charset="-128"/>
                <a:cs typeface="+mn-cs"/>
              </a:defRPr>
            </a:pPr>
            <a:endParaRPr lang="ja-JP"/>
          </a:p>
        </c:txPr>
        <c:crossAx val="683149656"/>
        <c:crosses val="autoZero"/>
        <c:crossBetween val="between"/>
      </c:valAx>
      <c:valAx>
        <c:axId val="683143752"/>
        <c:scaling>
          <c:orientation val="minMax"/>
          <c:max val="1"/>
        </c:scaling>
        <c:delete val="0"/>
        <c:axPos val="l"/>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eiryo UI" panose="020B0604030504040204" pitchFamily="50" charset="-128"/>
                <a:cs typeface="+mn-cs"/>
              </a:defRPr>
            </a:pPr>
            <a:endParaRPr lang="ja-JP"/>
          </a:p>
        </c:txPr>
        <c:crossAx val="683142440"/>
        <c:crosses val="max"/>
        <c:crossBetween val="between"/>
        <c:majorUnit val="0.25"/>
      </c:valAx>
      <c:catAx>
        <c:axId val="6831424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one"/>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43752"/>
        <c:crosses val="max"/>
        <c:auto val="1"/>
        <c:lblAlgn val="ctr"/>
        <c:lblOffset val="100"/>
        <c:noMultiLvlLbl val="0"/>
      </c:catAx>
      <c:spPr>
        <a:noFill/>
        <a:ln>
          <a:noFill/>
        </a:ln>
        <a:effectLst/>
      </c:spPr>
    </c:plotArea>
    <c:legend>
      <c:legendPos val="r"/>
      <c:overlay val="1"/>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creativecommons.org/licenses/by/4.0/legalcode.ja"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35</xdr:row>
      <xdr:rowOff>0</xdr:rowOff>
    </xdr:from>
    <xdr:to>
      <xdr:col>2</xdr:col>
      <xdr:colOff>2060627</xdr:colOff>
      <xdr:row>38</xdr:row>
      <xdr:rowOff>114272</xdr:rowOff>
    </xdr:to>
    <xdr:pic>
      <xdr:nvPicPr>
        <xdr:cNvPr id="2" name="図 1">
          <a:extLst>
            <a:ext uri="{FF2B5EF4-FFF2-40B4-BE49-F238E27FC236}">
              <a16:creationId xmlns:a16="http://schemas.microsoft.com/office/drawing/2014/main" id="{DA986131-DBBD-4255-9F92-70871F272424}"/>
            </a:ext>
          </a:extLst>
        </xdr:cNvPr>
        <xdr:cNvPicPr>
          <a:picLocks noChangeAspect="1"/>
        </xdr:cNvPicPr>
      </xdr:nvPicPr>
      <xdr:blipFill>
        <a:blip xmlns:r="http://schemas.openxmlformats.org/officeDocument/2006/relationships" r:embed="rId1"/>
        <a:stretch>
          <a:fillRect/>
        </a:stretch>
      </xdr:blipFill>
      <xdr:spPr>
        <a:xfrm>
          <a:off x="1187824" y="7866529"/>
          <a:ext cx="2060627" cy="719390"/>
        </a:xfrm>
        <a:prstGeom prst="rect">
          <a:avLst/>
        </a:prstGeom>
      </xdr:spPr>
    </xdr:pic>
    <xdr:clientData/>
  </xdr:twoCellAnchor>
  <xdr:twoCellAnchor>
    <xdr:from>
      <xdr:col>2</xdr:col>
      <xdr:colOff>1841127</xdr:colOff>
      <xdr:row>15</xdr:row>
      <xdr:rowOff>57151</xdr:rowOff>
    </xdr:from>
    <xdr:to>
      <xdr:col>4</xdr:col>
      <xdr:colOff>117102</xdr:colOff>
      <xdr:row>18</xdr:row>
      <xdr:rowOff>104776</xdr:rowOff>
    </xdr:to>
    <xdr:sp macro="" textlink="">
      <xdr:nvSpPr>
        <xdr:cNvPr id="56" name="矢印: 五方向 55">
          <a:extLst>
            <a:ext uri="{FF2B5EF4-FFF2-40B4-BE49-F238E27FC236}">
              <a16:creationId xmlns:a16="http://schemas.microsoft.com/office/drawing/2014/main" id="{716FEA73-87F1-4DE1-A6C7-0732C8ADF24B}"/>
            </a:ext>
          </a:extLst>
        </xdr:cNvPr>
        <xdr:cNvSpPr/>
      </xdr:nvSpPr>
      <xdr:spPr>
        <a:xfrm>
          <a:off x="3031752" y="2057401"/>
          <a:ext cx="1743075" cy="647700"/>
        </a:xfrm>
        <a:prstGeom prst="homePlate">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機能システム</a:t>
          </a:r>
          <a:r>
            <a:rPr kumimoji="1" lang="en-US" altLang="ja-JP" sz="1100">
              <a:latin typeface="Meiryo UI" panose="020B0604030504040204" pitchFamily="50" charset="-128"/>
              <a:ea typeface="Meiryo UI" panose="020B0604030504040204" pitchFamily="50" charset="-128"/>
            </a:rPr>
            <a:t>A</a:t>
          </a:r>
          <a:r>
            <a:rPr kumimoji="1" lang="ja-JP" altLang="en-US" sz="1100">
              <a:latin typeface="Meiryo UI" panose="020B0604030504040204" pitchFamily="50" charset="-128"/>
              <a:ea typeface="Meiryo UI" panose="020B0604030504040204" pitchFamily="50" charset="-128"/>
            </a:rPr>
            <a:t>の評価</a:t>
          </a:r>
        </a:p>
      </xdr:txBody>
    </xdr:sp>
    <xdr:clientData/>
  </xdr:twoCellAnchor>
  <xdr:twoCellAnchor>
    <xdr:from>
      <xdr:col>2</xdr:col>
      <xdr:colOff>1841127</xdr:colOff>
      <xdr:row>18</xdr:row>
      <xdr:rowOff>190501</xdr:rowOff>
    </xdr:from>
    <xdr:to>
      <xdr:col>4</xdr:col>
      <xdr:colOff>117102</xdr:colOff>
      <xdr:row>22</xdr:row>
      <xdr:rowOff>38101</xdr:rowOff>
    </xdr:to>
    <xdr:sp macro="" textlink="">
      <xdr:nvSpPr>
        <xdr:cNvPr id="57" name="矢印: 五方向 56">
          <a:extLst>
            <a:ext uri="{FF2B5EF4-FFF2-40B4-BE49-F238E27FC236}">
              <a16:creationId xmlns:a16="http://schemas.microsoft.com/office/drawing/2014/main" id="{31EAB854-DBA9-4F46-90C3-FED91175C4D7}"/>
            </a:ext>
          </a:extLst>
        </xdr:cNvPr>
        <xdr:cNvSpPr/>
      </xdr:nvSpPr>
      <xdr:spPr>
        <a:xfrm>
          <a:off x="3031752" y="2790826"/>
          <a:ext cx="1743075" cy="647700"/>
        </a:xfrm>
        <a:prstGeom prst="homePlate">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機能システム</a:t>
          </a:r>
          <a:r>
            <a:rPr kumimoji="1" lang="en-US" altLang="ja-JP" sz="1100">
              <a:latin typeface="Meiryo UI" panose="020B0604030504040204" pitchFamily="50" charset="-128"/>
              <a:ea typeface="Meiryo UI" panose="020B0604030504040204" pitchFamily="50" charset="-128"/>
            </a:rPr>
            <a:t>B</a:t>
          </a:r>
          <a:r>
            <a:rPr kumimoji="1" lang="ja-JP" altLang="en-US" sz="1100">
              <a:latin typeface="Meiryo UI" panose="020B0604030504040204" pitchFamily="50" charset="-128"/>
              <a:ea typeface="Meiryo UI" panose="020B0604030504040204" pitchFamily="50" charset="-128"/>
            </a:rPr>
            <a:t>の評価</a:t>
          </a:r>
        </a:p>
      </xdr:txBody>
    </xdr:sp>
    <xdr:clientData/>
  </xdr:twoCellAnchor>
  <xdr:oneCellAnchor>
    <xdr:from>
      <xdr:col>2</xdr:col>
      <xdr:colOff>2389228</xdr:colOff>
      <xdr:row>22</xdr:row>
      <xdr:rowOff>171450</xdr:rowOff>
    </xdr:from>
    <xdr:ext cx="423449" cy="447675"/>
    <xdr:sp macro="" textlink="">
      <xdr:nvSpPr>
        <xdr:cNvPr id="58" name="テキスト ボックス 57">
          <a:extLst>
            <a:ext uri="{FF2B5EF4-FFF2-40B4-BE49-F238E27FC236}">
              <a16:creationId xmlns:a16="http://schemas.microsoft.com/office/drawing/2014/main" id="{91988C4E-4CE6-458C-9B67-BAC9D691649E}"/>
            </a:ext>
          </a:extLst>
        </xdr:cNvPr>
        <xdr:cNvSpPr txBox="1"/>
      </xdr:nvSpPr>
      <xdr:spPr>
        <a:xfrm>
          <a:off x="3579853" y="3571875"/>
          <a:ext cx="423449"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lIns="0" tIns="0" rIns="0" bIns="0" rtlCol="0" anchor="t">
          <a:spAutoFit/>
        </a:bodyPr>
        <a:lstStyle/>
        <a:p>
          <a:r>
            <a:rPr kumimoji="1" lang="en-US" altLang="ja-JP" sz="2000" b="1">
              <a:solidFill>
                <a:sysClr val="windowText" lastClr="000000"/>
              </a:solidFill>
              <a:latin typeface="Meiryo UI" panose="020B0604030504040204" pitchFamily="50" charset="-128"/>
              <a:ea typeface="Meiryo UI" panose="020B0604030504040204" pitchFamily="50" charset="-128"/>
            </a:rPr>
            <a:t>…</a:t>
          </a:r>
          <a:endParaRPr kumimoji="1" lang="ja-JP" altLang="en-US" sz="20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twoCellAnchor>
    <xdr:from>
      <xdr:col>2</xdr:col>
      <xdr:colOff>1934865</xdr:colOff>
      <xdr:row>16</xdr:row>
      <xdr:rowOff>115422</xdr:rowOff>
    </xdr:from>
    <xdr:to>
      <xdr:col>3</xdr:col>
      <xdr:colOff>753989</xdr:colOff>
      <xdr:row>18</xdr:row>
      <xdr:rowOff>95251</xdr:rowOff>
    </xdr:to>
    <xdr:sp macro="" textlink="">
      <xdr:nvSpPr>
        <xdr:cNvPr id="60" name="フローチャート: 複数書類 59">
          <a:extLst>
            <a:ext uri="{FF2B5EF4-FFF2-40B4-BE49-F238E27FC236}">
              <a16:creationId xmlns:a16="http://schemas.microsoft.com/office/drawing/2014/main" id="{C898DAFC-55A2-409F-9512-F805908AD614}"/>
            </a:ext>
          </a:extLst>
        </xdr:cNvPr>
        <xdr:cNvSpPr/>
      </xdr:nvSpPr>
      <xdr:spPr>
        <a:xfrm>
          <a:off x="3125490" y="2315697"/>
          <a:ext cx="1438499" cy="379879"/>
        </a:xfrm>
        <a:prstGeom prst="flowChartMultidocument">
          <a:avLst/>
        </a:prstGeom>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シート　</a:t>
          </a:r>
          <a:r>
            <a:rPr kumimoji="1" lang="en-US" altLang="ja-JP" sz="1100">
              <a:latin typeface="Meiryo UI" panose="020B0604030504040204" pitchFamily="50" charset="-128"/>
              <a:ea typeface="Meiryo UI" panose="020B0604030504040204" pitchFamily="50" charset="-128"/>
            </a:rPr>
            <a:t>2-1,…,2-8</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2</xdr:col>
      <xdr:colOff>1953915</xdr:colOff>
      <xdr:row>20</xdr:row>
      <xdr:rowOff>58272</xdr:rowOff>
    </xdr:from>
    <xdr:to>
      <xdr:col>3</xdr:col>
      <xdr:colOff>773039</xdr:colOff>
      <xdr:row>22</xdr:row>
      <xdr:rowOff>38101</xdr:rowOff>
    </xdr:to>
    <xdr:sp macro="" textlink="">
      <xdr:nvSpPr>
        <xdr:cNvPr id="61" name="フローチャート: 複数書類 60">
          <a:extLst>
            <a:ext uri="{FF2B5EF4-FFF2-40B4-BE49-F238E27FC236}">
              <a16:creationId xmlns:a16="http://schemas.microsoft.com/office/drawing/2014/main" id="{785F96B2-94AC-4474-8BFD-9DDB704BABB9}"/>
            </a:ext>
          </a:extLst>
        </xdr:cNvPr>
        <xdr:cNvSpPr/>
      </xdr:nvSpPr>
      <xdr:spPr>
        <a:xfrm>
          <a:off x="3144540" y="3058647"/>
          <a:ext cx="1438499" cy="379879"/>
        </a:xfrm>
        <a:prstGeom prst="flowChartMultidocument">
          <a:avLst/>
        </a:prstGeom>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シート　</a:t>
          </a:r>
          <a:r>
            <a:rPr kumimoji="1" lang="en-US" altLang="ja-JP" sz="1100">
              <a:latin typeface="Meiryo UI" panose="020B0604030504040204" pitchFamily="50" charset="-128"/>
              <a:ea typeface="Meiryo UI" panose="020B0604030504040204" pitchFamily="50" charset="-128"/>
            </a:rPr>
            <a:t>2-1,…,2-8</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590550</xdr:colOff>
      <xdr:row>15</xdr:row>
      <xdr:rowOff>77322</xdr:rowOff>
    </xdr:from>
    <xdr:to>
      <xdr:col>4</xdr:col>
      <xdr:colOff>2329702</xdr:colOff>
      <xdr:row>18</xdr:row>
      <xdr:rowOff>124947</xdr:rowOff>
    </xdr:to>
    <xdr:sp macro="" textlink="">
      <xdr:nvSpPr>
        <xdr:cNvPr id="63" name="矢印: 五方向 62">
          <a:extLst>
            <a:ext uri="{FF2B5EF4-FFF2-40B4-BE49-F238E27FC236}">
              <a16:creationId xmlns:a16="http://schemas.microsoft.com/office/drawing/2014/main" id="{4D4A2133-4F88-4F01-8822-2C10C19EC923}"/>
            </a:ext>
          </a:extLst>
        </xdr:cNvPr>
        <xdr:cNvSpPr/>
      </xdr:nvSpPr>
      <xdr:spPr>
        <a:xfrm>
          <a:off x="5248275" y="2077572"/>
          <a:ext cx="1739152" cy="647700"/>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総合評価</a:t>
          </a:r>
        </a:p>
      </xdr:txBody>
    </xdr:sp>
    <xdr:clientData/>
  </xdr:twoCellAnchor>
  <xdr:twoCellAnchor>
    <xdr:from>
      <xdr:col>4</xdr:col>
      <xdr:colOff>677565</xdr:colOff>
      <xdr:row>16</xdr:row>
      <xdr:rowOff>143997</xdr:rowOff>
    </xdr:from>
    <xdr:to>
      <xdr:col>4</xdr:col>
      <xdr:colOff>2116064</xdr:colOff>
      <xdr:row>18</xdr:row>
      <xdr:rowOff>123826</xdr:rowOff>
    </xdr:to>
    <xdr:sp macro="" textlink="">
      <xdr:nvSpPr>
        <xdr:cNvPr id="64" name="フローチャート: 複数書類 63">
          <a:extLst>
            <a:ext uri="{FF2B5EF4-FFF2-40B4-BE49-F238E27FC236}">
              <a16:creationId xmlns:a16="http://schemas.microsoft.com/office/drawing/2014/main" id="{646481A5-D8F8-486E-A093-3608F29A0353}"/>
            </a:ext>
          </a:extLst>
        </xdr:cNvPr>
        <xdr:cNvSpPr/>
      </xdr:nvSpPr>
      <xdr:spPr>
        <a:xfrm>
          <a:off x="5335290" y="2344272"/>
          <a:ext cx="1438499" cy="379879"/>
        </a:xfrm>
        <a:prstGeom prst="flowChartMultidocument">
          <a:avLst/>
        </a:prstGeom>
        <a:ln w="19050"/>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b="1">
              <a:latin typeface="Meiryo UI" panose="020B0604030504040204" pitchFamily="50" charset="-128"/>
              <a:ea typeface="Meiryo UI" panose="020B0604030504040204" pitchFamily="50" charset="-128"/>
            </a:rPr>
            <a:t>シート　</a:t>
          </a:r>
          <a:r>
            <a:rPr kumimoji="1" lang="en-US" altLang="ja-JP" sz="1100" b="1">
              <a:latin typeface="Meiryo UI" panose="020B0604030504040204" pitchFamily="50" charset="-128"/>
              <a:ea typeface="Meiryo UI" panose="020B0604030504040204" pitchFamily="50" charset="-128"/>
            </a:rPr>
            <a:t>3-1,3-2</a:t>
          </a:r>
          <a:endParaRPr kumimoji="1" lang="ja-JP" altLang="en-US" sz="1100" b="1">
            <a:latin typeface="Meiryo UI" panose="020B0604030504040204" pitchFamily="50" charset="-128"/>
            <a:ea typeface="Meiryo UI" panose="020B0604030504040204" pitchFamily="50" charset="-128"/>
          </a:endParaRPr>
        </a:p>
      </xdr:txBody>
    </xdr:sp>
    <xdr:clientData/>
  </xdr:twoCellAnchor>
  <xdr:oneCellAnchor>
    <xdr:from>
      <xdr:col>2</xdr:col>
      <xdr:colOff>1836778</xdr:colOff>
      <xdr:row>14</xdr:row>
      <xdr:rowOff>0</xdr:rowOff>
    </xdr:from>
    <xdr:ext cx="582532" cy="254044"/>
    <xdr:sp macro="" textlink="">
      <xdr:nvSpPr>
        <xdr:cNvPr id="66" name="テキスト ボックス 65">
          <a:extLst>
            <a:ext uri="{FF2B5EF4-FFF2-40B4-BE49-F238E27FC236}">
              <a16:creationId xmlns:a16="http://schemas.microsoft.com/office/drawing/2014/main" id="{AED8ED7C-89EB-440F-88C1-AC0DA7BBEB69}"/>
            </a:ext>
          </a:extLst>
        </xdr:cNvPr>
        <xdr:cNvSpPr txBox="1"/>
      </xdr:nvSpPr>
      <xdr:spPr>
        <a:xfrm>
          <a:off x="3027403" y="1800225"/>
          <a:ext cx="582532" cy="254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0" tIns="0" rIns="0" bIns="0" rtlCol="0" anchor="t">
          <a:spAutoFit/>
        </a:bodyPr>
        <a:lstStyle/>
        <a:p>
          <a:r>
            <a:rPr kumimoji="1" lang="ja-JP" altLang="en-US" sz="1200" b="1">
              <a:solidFill>
                <a:sysClr val="windowText" lastClr="000000"/>
              </a:solidFill>
              <a:latin typeface="Meiryo UI" panose="020B0604030504040204" pitchFamily="50" charset="-128"/>
              <a:ea typeface="Meiryo UI" panose="020B0604030504040204" pitchFamily="50" charset="-128"/>
            </a:rPr>
            <a:t>ステップ</a:t>
          </a:r>
          <a:r>
            <a:rPr kumimoji="1" lang="en-US" altLang="ja-JP" sz="1200" b="1">
              <a:solidFill>
                <a:sysClr val="windowText" lastClr="000000"/>
              </a:solidFill>
              <a:latin typeface="Meiryo UI" panose="020B0604030504040204" pitchFamily="50" charset="-128"/>
              <a:ea typeface="Meiryo UI" panose="020B0604030504040204" pitchFamily="50" charset="-128"/>
            </a:rPr>
            <a:t>2</a:t>
          </a:r>
          <a:endParaRPr kumimoji="1" lang="ja-JP" altLang="en-US" sz="12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oneCellAnchor>
    <xdr:from>
      <xdr:col>4</xdr:col>
      <xdr:colOff>598528</xdr:colOff>
      <xdr:row>14</xdr:row>
      <xdr:rowOff>9525</xdr:rowOff>
    </xdr:from>
    <xdr:ext cx="582532" cy="254044"/>
    <xdr:sp macro="" textlink="">
      <xdr:nvSpPr>
        <xdr:cNvPr id="67" name="テキスト ボックス 66">
          <a:extLst>
            <a:ext uri="{FF2B5EF4-FFF2-40B4-BE49-F238E27FC236}">
              <a16:creationId xmlns:a16="http://schemas.microsoft.com/office/drawing/2014/main" id="{6ACA8294-C5BC-46CF-834E-3FFC8CFE5310}"/>
            </a:ext>
          </a:extLst>
        </xdr:cNvPr>
        <xdr:cNvSpPr txBox="1"/>
      </xdr:nvSpPr>
      <xdr:spPr>
        <a:xfrm>
          <a:off x="5256253" y="1809750"/>
          <a:ext cx="582532" cy="254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0" tIns="0" rIns="0" bIns="0" rtlCol="0" anchor="t">
          <a:spAutoFit/>
        </a:bodyPr>
        <a:lstStyle/>
        <a:p>
          <a:r>
            <a:rPr kumimoji="1" lang="ja-JP" altLang="en-US" sz="1200" b="1">
              <a:solidFill>
                <a:sysClr val="windowText" lastClr="000000"/>
              </a:solidFill>
              <a:latin typeface="Meiryo UI" panose="020B0604030504040204" pitchFamily="50" charset="-128"/>
              <a:ea typeface="Meiryo UI" panose="020B0604030504040204" pitchFamily="50" charset="-128"/>
            </a:rPr>
            <a:t>ステップ</a:t>
          </a:r>
          <a:r>
            <a:rPr kumimoji="1" lang="en-US" altLang="ja-JP" sz="1200" b="1">
              <a:solidFill>
                <a:sysClr val="windowText" lastClr="000000"/>
              </a:solidFill>
              <a:latin typeface="Meiryo UI" panose="020B0604030504040204" pitchFamily="50" charset="-128"/>
              <a:ea typeface="Meiryo UI" panose="020B0604030504040204" pitchFamily="50" charset="-128"/>
            </a:rPr>
            <a:t>3</a:t>
          </a:r>
          <a:endParaRPr kumimoji="1" lang="ja-JP" altLang="en-US" sz="12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twoCellAnchor>
    <xdr:from>
      <xdr:col>4</xdr:col>
      <xdr:colOff>183778</xdr:colOff>
      <xdr:row>15</xdr:row>
      <xdr:rowOff>76200</xdr:rowOff>
    </xdr:from>
    <xdr:to>
      <xdr:col>4</xdr:col>
      <xdr:colOff>440952</xdr:colOff>
      <xdr:row>24</xdr:row>
      <xdr:rowOff>76200</xdr:rowOff>
    </xdr:to>
    <xdr:sp macro="" textlink="">
      <xdr:nvSpPr>
        <xdr:cNvPr id="68" name="右中かっこ 67">
          <a:extLst>
            <a:ext uri="{FF2B5EF4-FFF2-40B4-BE49-F238E27FC236}">
              <a16:creationId xmlns:a16="http://schemas.microsoft.com/office/drawing/2014/main" id="{B9F174D4-026D-49DF-AD52-8C8155C9E476}"/>
            </a:ext>
          </a:extLst>
        </xdr:cNvPr>
        <xdr:cNvSpPr/>
      </xdr:nvSpPr>
      <xdr:spPr>
        <a:xfrm>
          <a:off x="4841503" y="2076450"/>
          <a:ext cx="257174" cy="1800225"/>
        </a:xfrm>
        <a:prstGeom prst="rightBrace">
          <a:avLst>
            <a:gd name="adj1" fmla="val 23485"/>
            <a:gd name="adj2" fmla="val 20371"/>
          </a:avLst>
        </a:prstGeom>
        <a:ln w="19050">
          <a:extLst>
            <a:ext uri="{C807C97D-BFC1-408E-A445-0C87EB9F89A2}">
              <ask:lineSketchStyleProps xmlns:ask="http://schemas.microsoft.com/office/drawing/2018/sketchyshapes" sd="1219033472">
                <a:custGeom>
                  <a:avLst/>
                  <a:gdLst>
                    <a:gd name="connsiteX0" fmla="*/ 0 w 352425"/>
                    <a:gd name="connsiteY0" fmla="*/ 0 h 1800225"/>
                    <a:gd name="connsiteX1" fmla="*/ 176213 w 352425"/>
                    <a:gd name="connsiteY1" fmla="*/ 29368 h 1800225"/>
                    <a:gd name="connsiteX2" fmla="*/ 176213 w 352425"/>
                    <a:gd name="connsiteY2" fmla="*/ 870745 h 1800225"/>
                    <a:gd name="connsiteX3" fmla="*/ 352426 w 352425"/>
                    <a:gd name="connsiteY3" fmla="*/ 900113 h 1800225"/>
                    <a:gd name="connsiteX4" fmla="*/ 176213 w 352425"/>
                    <a:gd name="connsiteY4" fmla="*/ 929481 h 1800225"/>
                    <a:gd name="connsiteX5" fmla="*/ 176213 w 352425"/>
                    <a:gd name="connsiteY5" fmla="*/ 1770857 h 1800225"/>
                    <a:gd name="connsiteX6" fmla="*/ 0 w 352425"/>
                    <a:gd name="connsiteY6" fmla="*/ 1800225 h 1800225"/>
                    <a:gd name="connsiteX7" fmla="*/ 0 w 352425"/>
                    <a:gd name="connsiteY7" fmla="*/ 0 h 1800225"/>
                    <a:gd name="connsiteX0" fmla="*/ 0 w 352425"/>
                    <a:gd name="connsiteY0" fmla="*/ 0 h 1800225"/>
                    <a:gd name="connsiteX1" fmla="*/ 176213 w 352425"/>
                    <a:gd name="connsiteY1" fmla="*/ 29368 h 1800225"/>
                    <a:gd name="connsiteX2" fmla="*/ 176213 w 352425"/>
                    <a:gd name="connsiteY2" fmla="*/ 870745 h 1800225"/>
                    <a:gd name="connsiteX3" fmla="*/ 352426 w 352425"/>
                    <a:gd name="connsiteY3" fmla="*/ 900113 h 1800225"/>
                    <a:gd name="connsiteX4" fmla="*/ 176213 w 352425"/>
                    <a:gd name="connsiteY4" fmla="*/ 929481 h 1800225"/>
                    <a:gd name="connsiteX5" fmla="*/ 176213 w 352425"/>
                    <a:gd name="connsiteY5" fmla="*/ 1770857 h 1800225"/>
                    <a:gd name="connsiteX6" fmla="*/ 0 w 352425"/>
                    <a:gd name="connsiteY6" fmla="*/ 1800225 h 18002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352425" h="1800225" stroke="0" extrusionOk="0">
                      <a:moveTo>
                        <a:pt x="0" y="0"/>
                      </a:moveTo>
                      <a:cubicBezTo>
                        <a:pt x="96362" y="-591"/>
                        <a:pt x="175064" y="13580"/>
                        <a:pt x="176213" y="29368"/>
                      </a:cubicBezTo>
                      <a:cubicBezTo>
                        <a:pt x="175068" y="150550"/>
                        <a:pt x="168426" y="705982"/>
                        <a:pt x="176213" y="870745"/>
                      </a:cubicBezTo>
                      <a:cubicBezTo>
                        <a:pt x="167577" y="895398"/>
                        <a:pt x="253510" y="908934"/>
                        <a:pt x="352426" y="900113"/>
                      </a:cubicBezTo>
                      <a:cubicBezTo>
                        <a:pt x="253722" y="899356"/>
                        <a:pt x="177006" y="913641"/>
                        <a:pt x="176213" y="929481"/>
                      </a:cubicBezTo>
                      <a:cubicBezTo>
                        <a:pt x="112673" y="1224888"/>
                        <a:pt x="180400" y="1534135"/>
                        <a:pt x="176213" y="1770857"/>
                      </a:cubicBezTo>
                      <a:cubicBezTo>
                        <a:pt x="167489" y="1785740"/>
                        <a:pt x="94415" y="1802960"/>
                        <a:pt x="0" y="1800225"/>
                      </a:cubicBezTo>
                      <a:cubicBezTo>
                        <a:pt x="-148447" y="1522810"/>
                        <a:pt x="103135" y="476382"/>
                        <a:pt x="0" y="0"/>
                      </a:cubicBezTo>
                      <a:close/>
                    </a:path>
                    <a:path w="352425" h="1800225" fill="none" extrusionOk="0">
                      <a:moveTo>
                        <a:pt x="0" y="0"/>
                      </a:moveTo>
                      <a:cubicBezTo>
                        <a:pt x="98782" y="818"/>
                        <a:pt x="177234" y="13394"/>
                        <a:pt x="176213" y="29368"/>
                      </a:cubicBezTo>
                      <a:cubicBezTo>
                        <a:pt x="136944" y="157612"/>
                        <a:pt x="122388" y="672767"/>
                        <a:pt x="176213" y="870745"/>
                      </a:cubicBezTo>
                      <a:cubicBezTo>
                        <a:pt x="179484" y="891833"/>
                        <a:pt x="256636" y="915962"/>
                        <a:pt x="352426" y="900113"/>
                      </a:cubicBezTo>
                      <a:cubicBezTo>
                        <a:pt x="256628" y="902458"/>
                        <a:pt x="178246" y="915752"/>
                        <a:pt x="176213" y="929481"/>
                      </a:cubicBezTo>
                      <a:cubicBezTo>
                        <a:pt x="121868" y="1145315"/>
                        <a:pt x="209535" y="1542117"/>
                        <a:pt x="176213" y="1770857"/>
                      </a:cubicBezTo>
                      <a:cubicBezTo>
                        <a:pt x="171131" y="1787911"/>
                        <a:pt x="89336" y="1794716"/>
                        <a:pt x="0" y="1800225"/>
                      </a:cubicBezTo>
                    </a:path>
                  </a:pathLst>
                </a:custGeom>
                <ask:type>
                  <ask:lineSketchNone/>
                </ask:type>
              </ask:lineSketchStyleProps>
            </a:ext>
          </a:extLst>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941294</xdr:colOff>
      <xdr:row>34</xdr:row>
      <xdr:rowOff>187139</xdr:rowOff>
    </xdr:from>
    <xdr:to>
      <xdr:col>2</xdr:col>
      <xdr:colOff>1636058</xdr:colOff>
      <xdr:row>38</xdr:row>
      <xdr:rowOff>108697</xdr:rowOff>
    </xdr:to>
    <xdr:sp macro="" textlink="">
      <xdr:nvSpPr>
        <xdr:cNvPr id="70" name="正方形/長方形 69">
          <a:extLst>
            <a:ext uri="{FF2B5EF4-FFF2-40B4-BE49-F238E27FC236}">
              <a16:creationId xmlns:a16="http://schemas.microsoft.com/office/drawing/2014/main" id="{7657554A-1E84-4F09-A035-C3EB8C6EC7F5}"/>
            </a:ext>
          </a:extLst>
        </xdr:cNvPr>
        <xdr:cNvSpPr/>
      </xdr:nvSpPr>
      <xdr:spPr>
        <a:xfrm>
          <a:off x="1176618" y="7851963"/>
          <a:ext cx="1647264" cy="72838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1848971</xdr:colOff>
      <xdr:row>9</xdr:row>
      <xdr:rowOff>181536</xdr:rowOff>
    </xdr:from>
    <xdr:to>
      <xdr:col>4</xdr:col>
      <xdr:colOff>2308412</xdr:colOff>
      <xdr:row>13</xdr:row>
      <xdr:rowOff>27456</xdr:rowOff>
    </xdr:to>
    <xdr:sp macro="" textlink="">
      <xdr:nvSpPr>
        <xdr:cNvPr id="17" name="矢印: 五方向 16">
          <a:extLst>
            <a:ext uri="{FF2B5EF4-FFF2-40B4-BE49-F238E27FC236}">
              <a16:creationId xmlns:a16="http://schemas.microsoft.com/office/drawing/2014/main" id="{485C8944-7129-45F7-B255-05BC664A4B6B}"/>
            </a:ext>
          </a:extLst>
        </xdr:cNvPr>
        <xdr:cNvSpPr/>
      </xdr:nvSpPr>
      <xdr:spPr>
        <a:xfrm>
          <a:off x="3039596" y="1981761"/>
          <a:ext cx="3926541" cy="646020"/>
        </a:xfrm>
        <a:prstGeom prst="homePlate">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en-US" altLang="ja-JP" sz="1100">
              <a:latin typeface="Meiryo UI" panose="020B0604030504040204" pitchFamily="50" charset="-128"/>
              <a:ea typeface="Meiryo UI" panose="020B0604030504040204" pitchFamily="50" charset="-128"/>
            </a:rPr>
            <a:t>IT</a:t>
          </a:r>
          <a:r>
            <a:rPr kumimoji="1" lang="ja-JP" altLang="en-US" sz="1100">
              <a:latin typeface="Meiryo UI" panose="020B0604030504040204" pitchFamily="50" charset="-128"/>
              <a:ea typeface="Meiryo UI" panose="020B0604030504040204" pitchFamily="50" charset="-128"/>
            </a:rPr>
            <a:t>システム全体の評価</a:t>
          </a:r>
        </a:p>
      </xdr:txBody>
    </xdr:sp>
    <xdr:clientData/>
  </xdr:twoCellAnchor>
  <xdr:twoCellAnchor>
    <xdr:from>
      <xdr:col>2</xdr:col>
      <xdr:colOff>1935986</xdr:colOff>
      <xdr:row>11</xdr:row>
      <xdr:rowOff>46505</xdr:rowOff>
    </xdr:from>
    <xdr:to>
      <xdr:col>3</xdr:col>
      <xdr:colOff>752309</xdr:colOff>
      <xdr:row>13</xdr:row>
      <xdr:rowOff>26335</xdr:rowOff>
    </xdr:to>
    <xdr:sp macro="" textlink="">
      <xdr:nvSpPr>
        <xdr:cNvPr id="18" name="フローチャート: 複数書類 17">
          <a:extLst>
            <a:ext uri="{FF2B5EF4-FFF2-40B4-BE49-F238E27FC236}">
              <a16:creationId xmlns:a16="http://schemas.microsoft.com/office/drawing/2014/main" id="{547C35BB-9F4F-4A90-ADA0-64480002084D}"/>
            </a:ext>
          </a:extLst>
        </xdr:cNvPr>
        <xdr:cNvSpPr/>
      </xdr:nvSpPr>
      <xdr:spPr>
        <a:xfrm>
          <a:off x="3126611" y="2246780"/>
          <a:ext cx="1435698" cy="379880"/>
        </a:xfrm>
        <a:prstGeom prst="flowChartMultidocument">
          <a:avLst/>
        </a:prstGeom>
        <a:ln w="9525"/>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b="0">
              <a:latin typeface="Meiryo UI" panose="020B0604030504040204" pitchFamily="50" charset="-128"/>
              <a:ea typeface="Meiryo UI" panose="020B0604030504040204" pitchFamily="50" charset="-128"/>
            </a:rPr>
            <a:t>シート　</a:t>
          </a:r>
          <a:r>
            <a:rPr kumimoji="1" lang="en-US" altLang="ja-JP" sz="1100" b="0">
              <a:latin typeface="Meiryo UI" panose="020B0604030504040204" pitchFamily="50" charset="-128"/>
              <a:ea typeface="Meiryo UI" panose="020B0604030504040204" pitchFamily="50" charset="-128"/>
            </a:rPr>
            <a:t>1-1,…,1-4</a:t>
          </a:r>
          <a:endParaRPr kumimoji="1" lang="ja-JP" altLang="en-US" sz="1100" b="0">
            <a:latin typeface="Meiryo UI" panose="020B0604030504040204" pitchFamily="50" charset="-128"/>
            <a:ea typeface="Meiryo UI" panose="020B0604030504040204" pitchFamily="50" charset="-128"/>
          </a:endParaRPr>
        </a:p>
      </xdr:txBody>
    </xdr:sp>
    <xdr:clientData/>
  </xdr:twoCellAnchor>
  <xdr:oneCellAnchor>
    <xdr:from>
      <xdr:col>2</xdr:col>
      <xdr:colOff>1875999</xdr:colOff>
      <xdr:row>8</xdr:row>
      <xdr:rowOff>123264</xdr:rowOff>
    </xdr:from>
    <xdr:ext cx="582532" cy="254044"/>
    <xdr:sp macro="" textlink="">
      <xdr:nvSpPr>
        <xdr:cNvPr id="19" name="テキスト ボックス 18">
          <a:extLst>
            <a:ext uri="{FF2B5EF4-FFF2-40B4-BE49-F238E27FC236}">
              <a16:creationId xmlns:a16="http://schemas.microsoft.com/office/drawing/2014/main" id="{244C1057-DD1F-4FD9-B8F5-19C1651C4AF1}"/>
            </a:ext>
          </a:extLst>
        </xdr:cNvPr>
        <xdr:cNvSpPr txBox="1"/>
      </xdr:nvSpPr>
      <xdr:spPr>
        <a:xfrm>
          <a:off x="3066624" y="1723464"/>
          <a:ext cx="582532" cy="254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0" tIns="0" rIns="0" bIns="0" rtlCol="0" anchor="t">
          <a:spAutoFit/>
        </a:bodyPr>
        <a:lstStyle/>
        <a:p>
          <a:r>
            <a:rPr kumimoji="1" lang="ja-JP" altLang="en-US" sz="1200" b="1">
              <a:solidFill>
                <a:sysClr val="windowText" lastClr="000000"/>
              </a:solidFill>
              <a:latin typeface="Meiryo UI" panose="020B0604030504040204" pitchFamily="50" charset="-128"/>
              <a:ea typeface="Meiryo UI" panose="020B0604030504040204" pitchFamily="50" charset="-128"/>
            </a:rPr>
            <a:t>ステップ</a:t>
          </a:r>
          <a:r>
            <a:rPr kumimoji="1" lang="en-US" altLang="ja-JP" sz="1200" b="1">
              <a:solidFill>
                <a:sysClr val="windowText" lastClr="000000"/>
              </a:solidFill>
              <a:latin typeface="Meiryo UI" panose="020B0604030504040204" pitchFamily="50" charset="-128"/>
              <a:ea typeface="Meiryo UI" panose="020B0604030504040204" pitchFamily="50" charset="-128"/>
            </a:rPr>
            <a:t>1</a:t>
          </a:r>
          <a:endParaRPr kumimoji="1" lang="ja-JP" altLang="en-US" sz="12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29</xdr:row>
      <xdr:rowOff>44825</xdr:rowOff>
    </xdr:from>
    <xdr:to>
      <xdr:col>6</xdr:col>
      <xdr:colOff>661148</xdr:colOff>
      <xdr:row>42</xdr:row>
      <xdr:rowOff>165848</xdr:rowOff>
    </xdr:to>
    <xdr:graphicFrame macro="">
      <xdr:nvGraphicFramePr>
        <xdr:cNvPr id="2" name="グラフ 1">
          <a:extLst>
            <a:ext uri="{FF2B5EF4-FFF2-40B4-BE49-F238E27FC236}">
              <a16:creationId xmlns:a16="http://schemas.microsoft.com/office/drawing/2014/main" id="{50ECC235-2045-4CA9-A5B9-489DCFE21A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12</xdr:row>
      <xdr:rowOff>67236</xdr:rowOff>
    </xdr:from>
    <xdr:to>
      <xdr:col>9</xdr:col>
      <xdr:colOff>1008529</xdr:colOff>
      <xdr:row>27</xdr:row>
      <xdr:rowOff>123265</xdr:rowOff>
    </xdr:to>
    <xdr:graphicFrame macro="">
      <xdr:nvGraphicFramePr>
        <xdr:cNvPr id="3" name="グラフ 2">
          <a:extLst>
            <a:ext uri="{FF2B5EF4-FFF2-40B4-BE49-F238E27FC236}">
              <a16:creationId xmlns:a16="http://schemas.microsoft.com/office/drawing/2014/main" id="{0A0EC860-9EAD-45FE-A80E-377B221154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44825</xdr:rowOff>
    </xdr:from>
    <xdr:to>
      <xdr:col>6</xdr:col>
      <xdr:colOff>661148</xdr:colOff>
      <xdr:row>42</xdr:row>
      <xdr:rowOff>165848</xdr:rowOff>
    </xdr:to>
    <xdr:graphicFrame macro="">
      <xdr:nvGraphicFramePr>
        <xdr:cNvPr id="2" name="グラフ 1">
          <a:extLst>
            <a:ext uri="{FF2B5EF4-FFF2-40B4-BE49-F238E27FC236}">
              <a16:creationId xmlns:a16="http://schemas.microsoft.com/office/drawing/2014/main" id="{FFA22297-F077-4591-99B4-F7993F741D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12</xdr:row>
      <xdr:rowOff>67236</xdr:rowOff>
    </xdr:from>
    <xdr:to>
      <xdr:col>9</xdr:col>
      <xdr:colOff>1008529</xdr:colOff>
      <xdr:row>27</xdr:row>
      <xdr:rowOff>123265</xdr:rowOff>
    </xdr:to>
    <xdr:graphicFrame macro="">
      <xdr:nvGraphicFramePr>
        <xdr:cNvPr id="3" name="グラフ 2">
          <a:extLst>
            <a:ext uri="{FF2B5EF4-FFF2-40B4-BE49-F238E27FC236}">
              <a16:creationId xmlns:a16="http://schemas.microsoft.com/office/drawing/2014/main" id="{189CDB93-5609-4AAC-A0FA-7B3D70F4FE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85725</xdr:colOff>
      <xdr:row>1</xdr:row>
      <xdr:rowOff>695325</xdr:rowOff>
    </xdr:from>
    <xdr:to>
      <xdr:col>1</xdr:col>
      <xdr:colOff>933450</xdr:colOff>
      <xdr:row>1</xdr:row>
      <xdr:rowOff>988402</xdr:rowOff>
    </xdr:to>
    <xdr:pic>
      <xdr:nvPicPr>
        <xdr:cNvPr id="2" name="図 1">
          <a:hlinkClick xmlns:r="http://schemas.openxmlformats.org/officeDocument/2006/relationships" r:id="rId1"/>
          <a:extLst>
            <a:ext uri="{FF2B5EF4-FFF2-40B4-BE49-F238E27FC236}">
              <a16:creationId xmlns:a16="http://schemas.microsoft.com/office/drawing/2014/main" id="{07928E6E-F02C-441C-BDE0-519923367F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1525" y="942975"/>
          <a:ext cx="847725" cy="2930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2703416-85AE-4577-8F7A-25A479B0123B}" name="テーブル334" displayName="テーブル334" ref="B4:BM14" totalsRowCount="1" headerRowDxfId="233" dataDxfId="232" totalsRowDxfId="231">
  <autoFilter ref="B4:BM13" xr:uid="{DD3A431D-8775-468A-988B-9FEEA12E10A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filterColumn colId="41" hiddenButton="1"/>
    <filterColumn colId="42" hiddenButton="1"/>
    <filterColumn colId="43" hiddenButton="1"/>
    <filterColumn colId="44" hiddenButton="1"/>
    <filterColumn colId="45" hiddenButton="1"/>
    <filterColumn colId="46" hiddenButton="1"/>
    <filterColumn colId="47" hiddenButton="1"/>
    <filterColumn colId="48" hiddenButton="1"/>
    <filterColumn colId="49" hiddenButton="1"/>
    <filterColumn colId="50" hiddenButton="1"/>
    <filterColumn colId="51" hiddenButton="1"/>
    <filterColumn colId="52" hiddenButton="1"/>
    <filterColumn colId="53" hiddenButton="1"/>
    <filterColumn colId="54" hiddenButton="1"/>
    <filterColumn colId="55" hiddenButton="1"/>
    <filterColumn colId="56" hiddenButton="1"/>
    <filterColumn colId="57" hiddenButton="1"/>
    <filterColumn colId="58" hiddenButton="1"/>
    <filterColumn colId="59" hiddenButton="1"/>
    <filterColumn colId="60" hiddenButton="1"/>
    <filterColumn colId="61" hiddenButton="1"/>
    <filterColumn colId="62" hiddenButton="1"/>
    <filterColumn colId="63" hiddenButton="1"/>
  </autoFilter>
  <tableColumns count="64">
    <tableColumn id="1" xr3:uid="{6250E5BD-3512-426E-8266-1BDA5954A358}" name="機能システム名" totalsRowLabel="合計" dataDxfId="230" totalsRowDxfId="229"/>
    <tableColumn id="2" xr3:uid="{6913CE02-5E77-4625-BFC3-2227A3E03170}" name="機能システム概要" dataDxfId="228" totalsRowDxfId="227"/>
    <tableColumn id="12" xr3:uid="{B564DDBE-4739-4515-A6B7-65D004654971}" name="主管事業部門" totalsRowDxfId="226"/>
    <tableColumn id="13" xr3:uid="{1D0F30EA-AEE0-420E-A336-532E9E83EFB9}" name="主管IT部門" totalsRowDxfId="225"/>
    <tableColumn id="3" xr3:uid="{1BD77C6D-6FFC-4799-BC2D-393C2CBDBC40}" name="構成要素_x000a_（サブシステム名）" dataDxfId="224" totalsRowDxfId="223"/>
    <tableColumn id="24" xr3:uid="{A8B90A2F-9C69-4855-BF1F-B7A38C1B24B9}" name="開発言語・規模" totalsRowDxfId="222"/>
    <tableColumn id="25" xr3:uid="{49892755-8E24-494C-90D8-546DEBD4634E}" name="開発環境・ツール" totalsRowDxfId="221"/>
    <tableColumn id="4" xr3:uid="{53413239-1392-4E7E-AF7D-17F8FAE67238}" name="利用している外部サービス_x000a_（クラウドサービス他）" dataDxfId="220" totalsRowDxfId="219"/>
    <tableColumn id="5" xr3:uid="{063846EF-B01C-4FF1-8277-0D20527DF157}" name="ITシステム導入時期" dataDxfId="218" totalsRowDxfId="217"/>
    <tableColumn id="36" xr3:uid="{E3708852-D910-4351-8661-A0F836E5026A}" name="列1" totalsRowDxfId="216"/>
    <tableColumn id="8" xr3:uid="{45326325-CAB3-4136-8C9C-5830638CA04C}" name="競争領域／非競争領域" totalsRowDxfId="215"/>
    <tableColumn id="9" xr3:uid="{6261F577-E88D-410E-9744-B0ACCCB4B407}" name="事業上の重要性" totalsRowDxfId="214"/>
    <tableColumn id="26" xr3:uid="{BBFD01B2-087A-4B31-B1CC-76426E527B06}" name="ダウンタイム許容度" totalsRowDxfId="213"/>
    <tableColumn id="27" xr3:uid="{1B1D7269-AAAB-4EA3-93F2-043E91E03E35}" name="顧客影響度" totalsRowDxfId="212"/>
    <tableColumn id="28" xr3:uid="{653A6832-FD03-4688-A728-F4177C45F486}" name="社会影響度" totalsRowDxfId="211"/>
    <tableColumn id="62" xr3:uid="{7433A523-7B8B-4582-9B19-5123D51C308B}" name="活用データ" dataDxfId="210" totalsRowDxfId="209"/>
    <tableColumn id="63" xr3:uid="{674553E5-5437-48E4-B3C1-152D88D6E45E}" name="期間あたりの変更回数" dataDxfId="208" totalsRowDxfId="207"/>
    <tableColumn id="30" xr3:uid="{92A931FE-B4B1-4FB3-95A0-FBFD674C4439}" name="IT費用" totalsRowDxfId="206"/>
    <tableColumn id="6" xr3:uid="{28470196-EFE8-41A8-A7A9-78841EFCF5EE}" name="IT担当人数" totalsRowDxfId="205"/>
    <tableColumn id="31" xr3:uid="{167BD27C-A9A3-4EFE-896A-089645EC2B7B}" name="事業担当人数" totalsRowDxfId="204"/>
    <tableColumn id="64" xr3:uid="{B1024D83-937D-4B2E-99DF-8DDD783333B5}" name="内製化率" dataDxfId="203" totalsRowDxfId="202" dataCellStyle="桁区切り"/>
    <tableColumn id="65" xr3:uid="{446057DC-7A92-41E1-B5D7-CFFD2F92017C}" name="工程別工数" dataDxfId="201" totalsRowDxfId="200" dataCellStyle="桁区切り"/>
    <tableColumn id="66" xr3:uid="{6B84161B-6652-4E7E-BAA1-EE4372A4348A}" name="年間リリースプログラム数（延べ）" dataDxfId="199" totalsRowDxfId="198" dataCellStyle="桁区切り"/>
    <tableColumn id="67" xr3:uid="{71CDF8DB-72A1-4CA3-A908-FD601DE5C29A}" name="単純移行回数" dataDxfId="197" totalsRowDxfId="196" dataCellStyle="桁区切り"/>
    <tableColumn id="37" xr3:uid="{7181A60C-48DE-4ED1-8459-2AD59CAB1DE1}" name="列2" totalsRowDxfId="195"/>
    <tableColumn id="17" xr3:uid="{296DFC7A-687F-47A1-9DC5-EFD78ABE604F}" name="影響度合計値" dataDxfId="194" totalsRowDxfId="193" dataCellStyle="桁区切り">
      <calculatedColumnFormula>3*COUNTIF(テーブル334[[#This Row],[ダウンタイム許容度]:[社会影響度]],"H")+2*COUNTIF(テーブル334[[#This Row],[ダウンタイム許容度]:[社会影響度]],"M")+1*COUNTIF(テーブル334[[#This Row],[ダウンタイム許容度]:[社会影響度]],"L")</calculatedColumnFormula>
    </tableColumn>
    <tableColumn id="18" xr3:uid="{0123EE17-1D5F-4855-894E-66E17FD64D49}" name="重み" dataDxfId="192" totalsRowDxfId="191" dataCellStyle="桁区切り"/>
    <tableColumn id="14" xr3:uid="{EF0E9755-718B-403F-8D79-42F31C5834E6}" name="点数（データ活用性）" dataDxfId="190" totalsRowDxfId="189" dataCellStyle="桁区切り"/>
    <tableColumn id="16" xr3:uid="{543AED6F-DCB5-499A-8B49-036F5FFC75C0}" name="点数（アジリティ）" dataDxfId="188" totalsRowDxfId="187" dataCellStyle="桁区切り"/>
    <tableColumn id="19" xr3:uid="{E985074C-A901-4D02-B717-7F172824D1D3}" name="点数（スピード）" dataDxfId="186" totalsRowDxfId="185" dataCellStyle="桁区切り"/>
    <tableColumn id="39" xr3:uid="{E433DB05-1D63-498A-8C79-C3E451597652}" name="点数（利用品質）" dataDxfId="184" totalsRowDxfId="183" dataCellStyle="桁区切り"/>
    <tableColumn id="20" xr3:uid="{8A033E1B-0A54-429A-A494-131414628DA6}" name="点数（開発品質）" dataDxfId="182" totalsRowDxfId="181" dataCellStyle="桁区切り"/>
    <tableColumn id="15" xr3:uid="{90B8E8C4-17D7-43CA-8CC5-C80811CE2F87}" name="点数（IT資産）" dataDxfId="180" totalsRowDxfId="179" dataCellStyle="桁区切り"/>
    <tableColumn id="48" xr3:uid="{D258526D-B95C-4F98-B3DE-A95F9E2F174D}" name="点数" dataDxfId="178" totalsRowDxfId="177" dataCellStyle="桁区切り">
      <calculatedColumnFormula>SUM(テーブル334[[#This Row],[点数（データ活用性）]:[点数（IT資産）]])</calculatedColumnFormula>
    </tableColumn>
    <tableColumn id="7" xr3:uid="{21CC1845-B3A4-4C4E-A7F5-43CD1903AA09}" name="点数（データ活用性）×重み" dataDxfId="176" totalsRowDxfId="175">
      <calculatedColumnFormula>テーブル334[[#This Row],[点数（データ活用性）]]*テーブル334[[#This Row],[重み]]</calculatedColumnFormula>
    </tableColumn>
    <tableColumn id="21" xr3:uid="{5E2EC808-E736-4457-8038-28176079EE0F}" name="点数（アジリティ）×重み" dataDxfId="174" totalsRowDxfId="173" dataCellStyle="桁区切り"/>
    <tableColumn id="51" xr3:uid="{7E786B09-139E-4AB9-BC8A-C67C3C111FFC}" name="点数（スピード）×重み" dataDxfId="172" totalsRowDxfId="171" dataCellStyle="桁区切り">
      <calculatedColumnFormula>テーブル334[[#This Row],[点数（スピード）]]*テーブル334[[#This Row],[重み]]</calculatedColumnFormula>
    </tableColumn>
    <tableColumn id="10" xr3:uid="{599D8915-4C61-4273-B3F5-B6A3128CE7C8}" name="点数（利用品質）×重み" dataDxfId="170" totalsRowDxfId="169">
      <calculatedColumnFormula>テーブル334[[#This Row],[点数（利用品質）]]*テーブル334[[#This Row],[重み]]</calculatedColumnFormula>
    </tableColumn>
    <tableColumn id="52" xr3:uid="{217F19BE-E927-4DB6-AF89-6C3E9EF2D01A}" name="点数（開発品質）×重み" dataDxfId="168" totalsRowDxfId="167" dataCellStyle="桁区切り">
      <calculatedColumnFormula>テーブル334[[#This Row],[点数（開発品質）]]*テーブル334[[#This Row],[重み]]</calculatedColumnFormula>
    </tableColumn>
    <tableColumn id="11" xr3:uid="{344CD5D2-ACAC-4391-A64D-88DACCE4EC09}" name="点数（IT資産）×重み" dataDxfId="166" totalsRowDxfId="165">
      <calculatedColumnFormula>テーブル334[[#This Row],[点数（IT資産）]]*テーブル334[[#This Row],[重み]]</calculatedColumnFormula>
    </tableColumn>
    <tableColumn id="22" xr3:uid="{5E2A050C-9485-4C52-9F00-EF4766B53C85}" name="点数×重み" dataDxfId="164" totalsRowDxfId="163" dataCellStyle="桁区切り">
      <calculatedColumnFormula>SUM(テーブル334[[#This Row],[点数（データ活用性）×重み]:[点数（IT資産）×重み]])</calculatedColumnFormula>
    </tableColumn>
    <tableColumn id="41" xr3:uid="{27FC2DC2-CEE2-44CE-A38E-0BAC88D1D68C}" name="配点（データ活用性）" totalsRowFunction="sum" dataDxfId="162" totalsRowDxfId="161" dataCellStyle="桁区切り"/>
    <tableColumn id="53" xr3:uid="{F8FA6953-9C3A-425C-88FC-66E343DBA6A2}" name="配点（アジリティ）" totalsRowFunction="sum" dataDxfId="160" totalsRowDxfId="159" dataCellStyle="桁区切り"/>
    <tableColumn id="54" xr3:uid="{A5A2F87E-D204-4C68-A2E9-02B30817CABC}" name="配点（スピード）" totalsRowFunction="sum" dataDxfId="158" totalsRowDxfId="157" dataCellStyle="桁区切り"/>
    <tableColumn id="42" xr3:uid="{184EA79E-CB0D-4855-A9CA-CAAE98E2C522}" name="配点（利用品質）" totalsRowFunction="sum" dataDxfId="156" totalsRowDxfId="155" dataCellStyle="桁区切り"/>
    <tableColumn id="55" xr3:uid="{84199174-8388-41CC-9C48-BB3C221D3A2B}" name="配点（開発品質）" totalsRowFunction="sum" dataDxfId="154" totalsRowDxfId="153" dataCellStyle="桁区切り"/>
    <tableColumn id="43" xr3:uid="{A81180B0-7AD6-4DE6-8408-40775515398C}" name="配点（IT資産）" totalsRowFunction="sum" dataDxfId="152" totalsRowDxfId="151" dataCellStyle="桁区切り"/>
    <tableColumn id="44" xr3:uid="{1A3F75B9-AE59-4AD9-B7A0-1402492C3D7C}" name="配点" totalsRowFunction="sum" dataDxfId="150" totalsRowDxfId="149" dataCellStyle="桁区切り"/>
    <tableColumn id="23" xr3:uid="{DA4648F7-470F-404A-AEEC-CFF8DAF9D868}" name="配点（データ活用性）×重み" totalsRowFunction="sum" dataDxfId="148" totalsRowDxfId="147" dataCellStyle="桁区切り">
      <calculatedColumnFormula>テーブル334[[#This Row],[配点（データ活用性）]]*テーブル334[[#This Row],[重み]]</calculatedColumnFormula>
    </tableColumn>
    <tableColumn id="56" xr3:uid="{06D3AFCA-7B74-437F-8F67-7C55B3791CD7}" name="配点（アジリティ）×重み" totalsRowFunction="sum" dataDxfId="146" totalsRowDxfId="145" dataCellStyle="桁区切り">
      <calculatedColumnFormula>テーブル334[[#This Row],[配点（アジリティ）]]*テーブル334[[#This Row],[重み]]</calculatedColumnFormula>
    </tableColumn>
    <tableColumn id="57" xr3:uid="{4DB60B41-E043-4543-A02D-D1C28FCF07EF}" name="配点（スピード）×重み" totalsRowFunction="sum" dataDxfId="144" totalsRowDxfId="143" dataCellStyle="桁区切り">
      <calculatedColumnFormula>テーブル334[[#This Row],[配点（スピード）]]*テーブル334[[#This Row],[重み]]</calculatedColumnFormula>
    </tableColumn>
    <tableColumn id="29" xr3:uid="{00219AE9-5CED-49E9-82FF-FEDEA7D7C58E}" name="配点（利用品質）×重み" totalsRowFunction="sum" dataDxfId="142" totalsRowDxfId="141" dataCellStyle="桁区切り">
      <calculatedColumnFormula>テーブル334[[#This Row],[配点（利用品質）]]*テーブル334[[#This Row],[重み]]</calculatedColumnFormula>
    </tableColumn>
    <tableColumn id="58" xr3:uid="{3A2C78A4-F9EB-4860-93F4-C3980185C18D}" name="配点（開発品質）×重み" totalsRowFunction="sum" dataDxfId="140" totalsRowDxfId="139" dataCellStyle="桁区切り">
      <calculatedColumnFormula>テーブル334[[#This Row],[配点（開発品質）]]*テーブル334[[#This Row],[重み]]</calculatedColumnFormula>
    </tableColumn>
    <tableColumn id="32" xr3:uid="{436B4BB6-49A3-4D8B-AD7E-1DFBA297B82A}" name="配点（IT資産）×重み" totalsRowFunction="sum" dataDxfId="138" totalsRowDxfId="137" dataCellStyle="桁区切り">
      <calculatedColumnFormula>テーブル334[[#This Row],[配点（IT資産）]]*テーブル334[[#This Row],[重み]]</calculatedColumnFormula>
    </tableColumn>
    <tableColumn id="38" xr3:uid="{5C35A919-FBD3-46B6-81A2-E02D5A29D8A3}" name="配点×重み" totalsRowFunction="sum" dataDxfId="136" totalsRowDxfId="135" dataCellStyle="桁区切り">
      <calculatedColumnFormula>SUM(テーブル334[[#This Row],[配点（データ活用性）×重み]:[配点（IT資産）×重み]])</calculatedColumnFormula>
    </tableColumn>
    <tableColumn id="40" xr3:uid="{4A4776D7-E978-437A-959E-06B846716EAC}" name="点数（データ活用性）　変換後" totalsRowFunction="sum" dataDxfId="134" totalsRowDxfId="133" dataCellStyle="桁区切り">
      <calculatedColumnFormula>テーブル334[[#This Row],[点数（データ活用性）×重み]]*(テーブル334[[#Totals],[配点（データ活用性）]]/テーブル334[[#Totals],[配点（データ活用性）×重み]])</calculatedColumnFormula>
    </tableColumn>
    <tableColumn id="59" xr3:uid="{DC3BB191-70E3-4AAB-A4D4-C73BD44C221E}" name="点数（アジリティ）　変換後" totalsRowFunction="sum" dataDxfId="132" totalsRowDxfId="131" dataCellStyle="桁区切り">
      <calculatedColumnFormula>テーブル334[[#This Row],[点数（アジリティ）×重み]]*(テーブル334[[#Totals],[配点（アジリティ）]]/テーブル334[[#Totals],[配点（アジリティ）×重み]])</calculatedColumnFormula>
    </tableColumn>
    <tableColumn id="60" xr3:uid="{01FFD972-8413-48B1-BCA7-F777D3533B9A}" name="点数（スピード）　変換後" totalsRowFunction="sum" dataDxfId="130" totalsRowDxfId="129" dataCellStyle="桁区切り">
      <calculatedColumnFormula>テーブル334[[#This Row],[点数（スピード）×重み]]*(テーブル334[[#Totals],[配点（スピード）]]/テーブル334[[#Totals],[配点（スピード）×重み]])</calculatedColumnFormula>
    </tableColumn>
    <tableColumn id="45" xr3:uid="{CDE76F4B-C551-4C0D-9911-0B286EB18C1C}" name="点数（利用品質）　変換後" totalsRowFunction="sum" dataDxfId="128" totalsRowDxfId="127" dataCellStyle="桁区切り">
      <calculatedColumnFormula>テーブル334[[#This Row],[点数（利用品質）×重み]]*(テーブル334[[#Totals],[配点（利用品質）]]/テーブル334[[#Totals],[配点（利用品質）×重み]])</calculatedColumnFormula>
    </tableColumn>
    <tableColumn id="61" xr3:uid="{0A7EC9E2-5167-420A-BAC2-E7F8C69E33AA}" name="点数（開発品質）　変換後" totalsRowFunction="sum" dataDxfId="126" totalsRowDxfId="125" dataCellStyle="桁区切り">
      <calculatedColumnFormula>テーブル334[[#This Row],[点数（開発品質）×重み]]*(テーブル334[[#Totals],[配点（開発品質）]]/テーブル334[[#Totals],[配点（開発品質）×重み]])</calculatedColumnFormula>
    </tableColumn>
    <tableColumn id="46" xr3:uid="{F4786AC6-F7CB-4BD4-B517-77048B9C6674}" name="点数（IT資産）　変換後" totalsRowFunction="sum" dataDxfId="124" totalsRowDxfId="123" dataCellStyle="桁区切り">
      <calculatedColumnFormula>テーブル334[[#This Row],[点数（IT資産）×重み]]*(テーブル334[[#Totals],[配点（IT資産）]]/テーブル334[[#Totals],[配点（IT資産）×重み]])</calculatedColumnFormula>
    </tableColumn>
    <tableColumn id="47" xr3:uid="{15243254-59CA-4B77-ADC5-B1D6BF3FF579}" name="点数×重み×配点の合計／（配点×重みの合計）" totalsRowFunction="sum" dataDxfId="122" totalsRowDxfId="121" dataCellStyle="桁区切り">
      <calculatedColumnFormula>テーブル334[[#This Row],[点数×重み]]*(テーブル334[[#Totals],[配点]]/テーブル334[[#Totals],[配点×重み]])</calculatedColumnFormula>
    </tableColumn>
    <tableColumn id="49" xr3:uid="{0603C237-44D2-43B0-B88F-A3DCF0C9F02C}" name="百点満点換算" totalsRowFunction="custom" dataDxfId="120" totalsRowDxfId="119" dataCellStyle="桁区切り">
      <calculatedColumnFormula>テーブル334[[#This Row],[点数×重み×配点の合計／（配点×重みの合計）]]/テーブル334[[#Totals],[配点]]*100</calculatedColumnFormula>
      <totalsRowFormula>SUM(BL5:BL12)</totalsRowFormula>
    </tableColumn>
    <tableColumn id="50" xr3:uid="{28DD55B2-B82C-48C1-8BE4-13FE1518B221}" name="配点比" totalsRowFunction="custom" dataDxfId="118" totalsRowDxfId="117" dataCellStyle="パーセント">
      <totalsRowFormula>SUM(BM5:BM12)</totalsRowFormula>
    </tableColumn>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3511587-7252-48B6-8E77-B60359086118}" name="テーブル33" displayName="テーブル33" ref="B4:BM14" totalsRowCount="1" headerRowDxfId="116" dataDxfId="115" totalsRowDxfId="114">
  <autoFilter ref="B4:BM13" xr:uid="{DD3A431D-8775-468A-988B-9FEEA12E10AB}">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filterColumn colId="41" hiddenButton="1"/>
    <filterColumn colId="42" hiddenButton="1"/>
    <filterColumn colId="43" hiddenButton="1"/>
    <filterColumn colId="44" hiddenButton="1"/>
    <filterColumn colId="45" hiddenButton="1"/>
    <filterColumn colId="46" hiddenButton="1"/>
    <filterColumn colId="47" hiddenButton="1"/>
    <filterColumn colId="48" hiddenButton="1"/>
    <filterColumn colId="49" hiddenButton="1"/>
    <filterColumn colId="50" hiddenButton="1"/>
    <filterColumn colId="51" hiddenButton="1"/>
    <filterColumn colId="52" hiddenButton="1"/>
    <filterColumn colId="53" hiddenButton="1"/>
    <filterColumn colId="54" hiddenButton="1"/>
    <filterColumn colId="55" hiddenButton="1"/>
    <filterColumn colId="56" hiddenButton="1"/>
    <filterColumn colId="57" hiddenButton="1"/>
    <filterColumn colId="58" hiddenButton="1"/>
    <filterColumn colId="59" hiddenButton="1"/>
    <filterColumn colId="60" hiddenButton="1"/>
    <filterColumn colId="61" hiddenButton="1"/>
    <filterColumn colId="62" hiddenButton="1"/>
    <filterColumn colId="63" hiddenButton="1"/>
  </autoFilter>
  <tableColumns count="64">
    <tableColumn id="1" xr3:uid="{EF0D940F-9B3C-4F4B-BE5F-D8DEC865932D}" name="機能システム名" totalsRowLabel="合計" dataDxfId="113" totalsRowDxfId="112"/>
    <tableColumn id="2" xr3:uid="{CBA75AC3-29C3-41F5-8DCE-729A5A20D7BF}" name="機能システム概要" dataDxfId="111" totalsRowDxfId="110"/>
    <tableColumn id="12" xr3:uid="{4513DBE7-4ABD-4F7F-8286-2659621E3783}" name="主管事業部門" totalsRowDxfId="109"/>
    <tableColumn id="13" xr3:uid="{2838B92A-3908-4098-A8D3-A799C5BC13F2}" name="主管IT部門" totalsRowDxfId="108"/>
    <tableColumn id="3" xr3:uid="{EC44BAEA-DA7F-45AF-9E9B-BC6766939D13}" name="構成要素_x000a_（サブシステム名）" dataDxfId="107" totalsRowDxfId="106"/>
    <tableColumn id="24" xr3:uid="{5DBEF2C4-C144-4561-B85D-E3EFD33D40BB}" name="開発言語・規模" totalsRowDxfId="105"/>
    <tableColumn id="25" xr3:uid="{0C651A44-33D9-4A21-B19A-52D7D60A3CC4}" name="開発環境・ツール" totalsRowDxfId="104"/>
    <tableColumn id="4" xr3:uid="{8CF2E018-3AB0-47B0-8494-BF20E7704ACD}" name="利用している外部サービス_x000a_（クラウドサービス他）" dataDxfId="103" totalsRowDxfId="102"/>
    <tableColumn id="5" xr3:uid="{C10149D7-11AC-4F86-8E08-F27704CDCF85}" name="ITシステム導入時期" dataDxfId="101" totalsRowDxfId="100"/>
    <tableColumn id="36" xr3:uid="{BF1B5252-66B3-4987-9289-C3DFA09CCCB7}" name="列1" totalsRowDxfId="99"/>
    <tableColumn id="8" xr3:uid="{005C68C6-DCB7-4878-BE91-01206274AB3E}" name="競争領域／非競争領域" totalsRowDxfId="98"/>
    <tableColumn id="9" xr3:uid="{61BCC440-F8BE-48F6-B35E-672C460AF04C}" name="事業上の重要性" totalsRowDxfId="97"/>
    <tableColumn id="26" xr3:uid="{B875226B-A69E-422E-BBE2-DE3256BAC0E8}" name="ダウンタイム許容度" totalsRowDxfId="96"/>
    <tableColumn id="27" xr3:uid="{6F01D0D0-CCFD-43E2-B2E6-F27213C339AC}" name="顧客影響度" totalsRowDxfId="95"/>
    <tableColumn id="28" xr3:uid="{BF88A783-401A-4D85-9F3A-54272207A36B}" name="社会影響度" totalsRowDxfId="94"/>
    <tableColumn id="62" xr3:uid="{3008F334-9B37-49FD-9AA0-54AB404DD56C}" name="活用データ" dataDxfId="93" totalsRowDxfId="92"/>
    <tableColumn id="63" xr3:uid="{BAA8665F-7BC2-44D9-84D9-60E318A4C977}" name="期間あたりの変更回数" dataDxfId="91" totalsRowDxfId="90"/>
    <tableColumn id="30" xr3:uid="{92B7DB1B-D227-42A3-ADEA-F4308EB36F66}" name="IT費用" totalsRowDxfId="89"/>
    <tableColumn id="6" xr3:uid="{B7E85D87-AE12-4B28-8361-371D8698BFB2}" name="IT担当人数" totalsRowDxfId="88"/>
    <tableColumn id="31" xr3:uid="{E5D746CB-CADC-4D79-AA3B-80F69752060D}" name="事業担当人数" totalsRowDxfId="87"/>
    <tableColumn id="64" xr3:uid="{D5B009A5-931F-4D71-BBA0-42730582D7AB}" name="内製化率" dataDxfId="86" totalsRowDxfId="85" dataCellStyle="桁区切り"/>
    <tableColumn id="65" xr3:uid="{8C1D2B4D-9741-4C68-B761-C9073DE5B7CF}" name="工程別工数" dataDxfId="84" totalsRowDxfId="83" dataCellStyle="桁区切り"/>
    <tableColumn id="66" xr3:uid="{F1E163F2-68EF-49E1-8012-FE33FADFE776}" name="年間リリースプログラム数（延べ）" dataDxfId="82" totalsRowDxfId="81" dataCellStyle="桁区切り"/>
    <tableColumn id="67" xr3:uid="{2108C666-FB1F-4A68-89E8-BDADEBABD31A}" name="単純移行回数" dataDxfId="80" totalsRowDxfId="79" dataCellStyle="桁区切り"/>
    <tableColumn id="37" xr3:uid="{F129AEAD-FAD1-4B31-9D17-B850DD2F5AE9}" name="列2" totalsRowDxfId="78"/>
    <tableColumn id="17" xr3:uid="{6FD8EB3A-0CC0-4F04-8674-B16ACC4A7359}" name="影響度合計値" dataDxfId="77" totalsRowDxfId="76" dataCellStyle="桁区切り">
      <calculatedColumnFormula>3*COUNTIF(テーブル33[[#This Row],[ダウンタイム許容度]:[社会影響度]],"H")+2*COUNTIF(テーブル33[[#This Row],[ダウンタイム許容度]:[社会影響度]],"M")+1*COUNTIF(テーブル33[[#This Row],[ダウンタイム許容度]:[社会影響度]],"L")</calculatedColumnFormula>
    </tableColumn>
    <tableColumn id="18" xr3:uid="{86AB824F-32EB-4B89-A3ED-B39FA26B746C}" name="重み" dataDxfId="75" totalsRowDxfId="74" dataCellStyle="桁区切り"/>
    <tableColumn id="14" xr3:uid="{46AAD6FF-475D-4C5A-8DDD-834E6335E8AE}" name="点数（データ活用性）" dataDxfId="73" totalsRowDxfId="72" dataCellStyle="桁区切り"/>
    <tableColumn id="16" xr3:uid="{E829CF61-9033-4E07-A6DD-44BDF7010BB4}" name="点数（アジリティ）" dataDxfId="71" totalsRowDxfId="70" dataCellStyle="桁区切り"/>
    <tableColumn id="19" xr3:uid="{F8F532F9-FD8D-4B1B-9F96-BFE11E7C6DAD}" name="点数（スピード）" dataDxfId="69" totalsRowDxfId="68" dataCellStyle="桁区切り"/>
    <tableColumn id="39" xr3:uid="{C9E2364B-57A5-49BE-A478-9EC8ED4916F6}" name="点数（利用品質）" dataDxfId="67" totalsRowDxfId="66" dataCellStyle="桁区切り"/>
    <tableColumn id="20" xr3:uid="{125EE61D-8CE6-4854-93BB-1E4285B3D38A}" name="点数（開発品質）" dataDxfId="65" totalsRowDxfId="64" dataCellStyle="桁区切り"/>
    <tableColumn id="15" xr3:uid="{90871806-BCB1-4B78-BC1B-67082041ABA8}" name="点数（IT資産）" dataDxfId="63" totalsRowDxfId="62" dataCellStyle="桁区切り"/>
    <tableColumn id="48" xr3:uid="{74728BB6-01FF-474B-BAFB-F0A788E7351A}" name="点数" dataDxfId="61" totalsRowDxfId="60" dataCellStyle="桁区切り">
      <calculatedColumnFormula>SUM(テーブル33[[#This Row],[点数（データ活用性）]:[点数（IT資産）]])</calculatedColumnFormula>
    </tableColumn>
    <tableColumn id="7" xr3:uid="{9B20DBC4-8D27-4578-8FE0-78995D7955E8}" name="点数（データ活用性）×重み" dataDxfId="59" totalsRowDxfId="58">
      <calculatedColumnFormula>テーブル33[[#This Row],[点数（データ活用性）]]*テーブル33[[#This Row],[重み]]</calculatedColumnFormula>
    </tableColumn>
    <tableColumn id="21" xr3:uid="{4125BF4F-EF40-47FE-8518-C085718B3C33}" name="点数（アジリティ）×重み" dataDxfId="57" totalsRowDxfId="56" dataCellStyle="桁区切り"/>
    <tableColumn id="51" xr3:uid="{700D671A-60BA-416A-8A33-860F6591CD27}" name="点数（スピード）×重み" dataDxfId="55" totalsRowDxfId="54" dataCellStyle="桁区切り">
      <calculatedColumnFormula>テーブル33[[#This Row],[点数（スピード）]]*テーブル33[[#This Row],[重み]]</calculatedColumnFormula>
    </tableColumn>
    <tableColumn id="10" xr3:uid="{6AEEB18C-B04D-4E1B-8BF1-1DA823F8A351}" name="点数（利用品質）×重み" dataDxfId="53" totalsRowDxfId="52">
      <calculatedColumnFormula>テーブル33[[#This Row],[点数（利用品質）]]*テーブル33[[#This Row],[重み]]</calculatedColumnFormula>
    </tableColumn>
    <tableColumn id="52" xr3:uid="{78CC6562-7F1F-49C4-BAD1-BF32B0960F63}" name="点数（開発品質）×重み" dataDxfId="51" totalsRowDxfId="50" dataCellStyle="桁区切り">
      <calculatedColumnFormula>テーブル33[[#This Row],[点数（開発品質）]]*テーブル33[[#This Row],[重み]]</calculatedColumnFormula>
    </tableColumn>
    <tableColumn id="11" xr3:uid="{999ADFB9-46B5-4763-825C-DD04C9C5C0C5}" name="点数（IT資産）×重み" dataDxfId="49" totalsRowDxfId="48">
      <calculatedColumnFormula>テーブル33[[#This Row],[点数（IT資産）]]*テーブル33[[#This Row],[重み]]</calculatedColumnFormula>
    </tableColumn>
    <tableColumn id="22" xr3:uid="{4EAB2282-66C6-4104-A565-ED3A8A826ED0}" name="点数×重み" dataDxfId="47" totalsRowDxfId="46" dataCellStyle="桁区切り">
      <calculatedColumnFormula>SUM(テーブル33[[#This Row],[点数（データ活用性）×重み]:[点数（IT資産）×重み]])</calculatedColumnFormula>
    </tableColumn>
    <tableColumn id="41" xr3:uid="{7E954202-343C-4FF0-9309-641A4309E189}" name="配点（データ活用性）" totalsRowFunction="sum" dataDxfId="45" totalsRowDxfId="44" dataCellStyle="桁区切り"/>
    <tableColumn id="53" xr3:uid="{8678229E-7FBF-4DF8-AC6E-B8319FC5B28C}" name="配点（アジリティ）" totalsRowFunction="sum" dataDxfId="43" totalsRowDxfId="42" dataCellStyle="桁区切り"/>
    <tableColumn id="54" xr3:uid="{37AD0C66-6BCF-4115-A197-978E3E9B8D5B}" name="配点（スピード）" totalsRowFunction="sum" dataDxfId="41" totalsRowDxfId="40" dataCellStyle="桁区切り"/>
    <tableColumn id="42" xr3:uid="{DC1E63E5-F587-4698-84FE-DC2D24DBA827}" name="配点（利用品質）" totalsRowFunction="sum" dataDxfId="39" totalsRowDxfId="38" dataCellStyle="桁区切り"/>
    <tableColumn id="55" xr3:uid="{D6ECD6E3-791D-416B-BBF5-6527F37895C5}" name="配点（開発品質）" totalsRowFunction="sum" dataDxfId="37" totalsRowDxfId="36" dataCellStyle="桁区切り"/>
    <tableColumn id="43" xr3:uid="{2F9BAFAE-7A68-4829-B0BB-B9E99E333103}" name="配点（IT資産）" totalsRowFunction="sum" dataDxfId="35" totalsRowDxfId="34" dataCellStyle="桁区切り"/>
    <tableColumn id="44" xr3:uid="{DFD94684-7736-4727-BCA0-4644F9E0BFAC}" name="配点" totalsRowFunction="sum" dataDxfId="33" totalsRowDxfId="32" dataCellStyle="桁区切り"/>
    <tableColumn id="23" xr3:uid="{1C07A6DE-B00B-486F-821E-0AA7DCE8FD8F}" name="配点（データ活用性）×重み" totalsRowFunction="sum" dataDxfId="31" totalsRowDxfId="30" dataCellStyle="桁区切り">
      <calculatedColumnFormula>テーブル33[[#This Row],[配点（データ活用性）]]*テーブル33[[#This Row],[重み]]</calculatedColumnFormula>
    </tableColumn>
    <tableColumn id="56" xr3:uid="{DD47EAE1-927B-406E-B746-B8977A1E58C2}" name="配点（アジリティ）×重み" totalsRowFunction="sum" dataDxfId="29" totalsRowDxfId="28" dataCellStyle="桁区切り">
      <calculatedColumnFormula>テーブル33[[#This Row],[配点（アジリティ）]]*テーブル33[[#This Row],[重み]]</calculatedColumnFormula>
    </tableColumn>
    <tableColumn id="57" xr3:uid="{A134A50F-7F23-4132-A944-D4F3464D8965}" name="配点（スピード）×重み" totalsRowFunction="sum" dataDxfId="27" totalsRowDxfId="26" dataCellStyle="桁区切り">
      <calculatedColumnFormula>テーブル33[[#This Row],[配点（スピード）]]*テーブル33[[#This Row],[重み]]</calculatedColumnFormula>
    </tableColumn>
    <tableColumn id="29" xr3:uid="{E5E01659-6CA1-4033-B273-74E8A3DD096A}" name="配点（利用品質）×重み" totalsRowFunction="sum" dataDxfId="25" totalsRowDxfId="24" dataCellStyle="桁区切り">
      <calculatedColumnFormula>テーブル33[[#This Row],[配点（利用品質）]]*テーブル33[[#This Row],[重み]]</calculatedColumnFormula>
    </tableColumn>
    <tableColumn id="58" xr3:uid="{7CB4585C-8E06-4715-A958-271434CFCF82}" name="配点（開発品質）×重み" totalsRowFunction="sum" dataDxfId="23" totalsRowDxfId="22" dataCellStyle="桁区切り">
      <calculatedColumnFormula>テーブル33[[#This Row],[配点（開発品質）]]*テーブル33[[#This Row],[重み]]</calculatedColumnFormula>
    </tableColumn>
    <tableColumn id="32" xr3:uid="{CFF2A7F8-8611-491A-A61B-3680C7AB7A55}" name="配点（IT資産）×重み" totalsRowFunction="sum" dataDxfId="21" totalsRowDxfId="20" dataCellStyle="桁区切り">
      <calculatedColumnFormula>テーブル33[[#This Row],[配点（IT資産）]]*テーブル33[[#This Row],[重み]]</calculatedColumnFormula>
    </tableColumn>
    <tableColumn id="38" xr3:uid="{189247AB-8500-480B-9688-5754F06ADC96}" name="配点×重み" totalsRowFunction="sum" dataDxfId="19" totalsRowDxfId="18" dataCellStyle="桁区切り">
      <calculatedColumnFormula>SUM(テーブル33[[#This Row],[配点（データ活用性）×重み]:[配点（IT資産）×重み]])</calculatedColumnFormula>
    </tableColumn>
    <tableColumn id="40" xr3:uid="{410EC8F0-052D-4FB7-B515-78DFE821A95F}" name="点数（データ活用性）　変換後" totalsRowFunction="sum" dataDxfId="17" totalsRowDxfId="16" dataCellStyle="桁区切り">
      <calculatedColumnFormula>テーブル33[[#This Row],[点数（データ活用性）×重み]]*(テーブル33[[#Totals],[配点（データ活用性）]]/テーブル33[[#Totals],[配点（データ活用性）×重み]])</calculatedColumnFormula>
    </tableColumn>
    <tableColumn id="59" xr3:uid="{F9D22540-B377-4BE7-BE2B-B6468DB11CE8}" name="点数（アジリティ）　変換後" totalsRowFunction="sum" dataDxfId="15" totalsRowDxfId="14" dataCellStyle="桁区切り">
      <calculatedColumnFormula>テーブル33[[#This Row],[点数（アジリティ）×重み]]*(テーブル33[[#Totals],[配点（アジリティ）]]/テーブル33[[#Totals],[配点（アジリティ）×重み]])</calculatedColumnFormula>
    </tableColumn>
    <tableColumn id="60" xr3:uid="{6D8EAC10-712F-46A6-BCFF-8E5967D0912A}" name="点数（スピード）　変換後" totalsRowFunction="sum" dataDxfId="13" totalsRowDxfId="12" dataCellStyle="桁区切り">
      <calculatedColumnFormula>テーブル33[[#This Row],[点数（スピード）×重み]]*(テーブル33[[#Totals],[配点（スピード）]]/テーブル33[[#Totals],[配点（スピード）×重み]])</calculatedColumnFormula>
    </tableColumn>
    <tableColumn id="45" xr3:uid="{1BD5732E-454F-4B28-85D3-417BFF7F0000}" name="点数（利用品質）　変換後" totalsRowFunction="sum" dataDxfId="11" totalsRowDxfId="10" dataCellStyle="桁区切り">
      <calculatedColumnFormula>テーブル33[[#This Row],[点数（利用品質）×重み]]*(テーブル33[[#Totals],[配点（利用品質）]]/テーブル33[[#Totals],[配点（利用品質）×重み]])</calculatedColumnFormula>
    </tableColumn>
    <tableColumn id="61" xr3:uid="{477DDFCD-379B-4644-AAE7-2443C459A26B}" name="点数（開発品質）　変換後" totalsRowFunction="sum" dataDxfId="9" totalsRowDxfId="8" dataCellStyle="桁区切り">
      <calculatedColumnFormula>テーブル33[[#This Row],[点数（開発品質）×重み]]*(テーブル33[[#Totals],[配点（開発品質）]]/テーブル33[[#Totals],[配点（開発品質）×重み]])</calculatedColumnFormula>
    </tableColumn>
    <tableColumn id="46" xr3:uid="{C8E1EF95-18A5-40C4-A323-4F980A61A9FD}" name="点数（IT資産）　変換後" totalsRowFunction="sum" dataDxfId="7" totalsRowDxfId="6" dataCellStyle="桁区切り">
      <calculatedColumnFormula>テーブル33[[#This Row],[点数（IT資産）×重み]]*(テーブル33[[#Totals],[配点（IT資産）]]/テーブル33[[#Totals],[配点（IT資産）×重み]])</calculatedColumnFormula>
    </tableColumn>
    <tableColumn id="47" xr3:uid="{154E1A13-EDF3-4275-B593-5BCC00EC7E10}" name="点数×重み×配点の合計／（配点×重みの合計）" totalsRowFunction="sum" dataDxfId="5" totalsRowDxfId="4" dataCellStyle="桁区切り">
      <calculatedColumnFormula>テーブル33[[#This Row],[点数×重み]]*(テーブル33[[#Totals],[配点]]/テーブル33[[#Totals],[配点×重み]])</calculatedColumnFormula>
    </tableColumn>
    <tableColumn id="49" xr3:uid="{0AC96D16-61A1-4E57-8703-6C05589DFD74}" name="百点満点換算" totalsRowFunction="custom" dataDxfId="3" totalsRowDxfId="2" dataCellStyle="桁区切り" totalsRowCellStyle="桁区切り">
      <calculatedColumnFormula>テーブル33[[#This Row],[点数×重み×配点の合計／（配点×重みの合計）]]/テーブル33[[#Totals],[配点]]*100</calculatedColumnFormula>
      <totalsRowFormula>SUM(BL5:BL12)</totalsRowFormula>
    </tableColumn>
    <tableColumn id="50" xr3:uid="{4B51E0DC-CDE0-4FE0-B697-C0476B37CC87}" name="配点比" totalsRowFunction="custom" dataDxfId="1" totalsRowDxfId="0" dataCellStyle="パーセント">
      <totalsRowFormula>SUM(BM5:BM12)</totalsRowFormula>
    </tableColumn>
  </tableColumns>
  <tableStyleInfo name="TableStyleLight2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022AD-D1B7-4D4A-93A6-267206B6E644}">
  <dimension ref="A1:I6"/>
  <sheetViews>
    <sheetView workbookViewId="0"/>
  </sheetViews>
  <sheetFormatPr defaultRowHeight="18.75"/>
  <cols>
    <col min="1" max="1" width="21.375" bestFit="1" customWidth="1"/>
    <col min="2" max="2" width="15.125" bestFit="1" customWidth="1"/>
    <col min="3" max="3" width="18.875" bestFit="1" customWidth="1"/>
    <col min="4" max="5" width="11" bestFit="1" customWidth="1"/>
  </cols>
  <sheetData>
    <row r="1" spans="1:9">
      <c r="A1" s="28" t="s">
        <v>33</v>
      </c>
      <c r="B1" s="28" t="s">
        <v>34</v>
      </c>
      <c r="C1" s="28" t="s">
        <v>35</v>
      </c>
      <c r="D1" s="28" t="s">
        <v>36</v>
      </c>
      <c r="E1" s="28" t="s">
        <v>37</v>
      </c>
      <c r="F1" s="28" t="s">
        <v>125</v>
      </c>
      <c r="G1" s="28" t="s">
        <v>163</v>
      </c>
      <c r="H1" s="28" t="s">
        <v>17</v>
      </c>
      <c r="I1" s="28" t="s">
        <v>18</v>
      </c>
    </row>
    <row r="2" spans="1:9">
      <c r="A2" s="29"/>
      <c r="B2" s="29"/>
      <c r="C2" s="29"/>
      <c r="D2" s="29"/>
      <c r="E2" s="29"/>
      <c r="F2" s="29"/>
      <c r="G2" s="96"/>
      <c r="H2" s="29"/>
      <c r="I2" s="29"/>
    </row>
    <row r="3" spans="1:9">
      <c r="A3" s="29" t="s">
        <v>58</v>
      </c>
      <c r="B3" s="29" t="s">
        <v>59</v>
      </c>
      <c r="C3" s="29" t="s">
        <v>90</v>
      </c>
      <c r="D3" s="29" t="s">
        <v>90</v>
      </c>
      <c r="E3" s="29" t="s">
        <v>90</v>
      </c>
      <c r="F3" s="29" t="s">
        <v>126</v>
      </c>
      <c r="G3" s="96">
        <v>0.5</v>
      </c>
      <c r="H3" s="29" t="s">
        <v>128</v>
      </c>
      <c r="I3" s="29" t="s">
        <v>128</v>
      </c>
    </row>
    <row r="4" spans="1:9">
      <c r="A4" s="29" t="s">
        <v>69</v>
      </c>
      <c r="B4" s="29" t="s">
        <v>81</v>
      </c>
      <c r="C4" s="29" t="s">
        <v>70</v>
      </c>
      <c r="D4" s="29" t="s">
        <v>70</v>
      </c>
      <c r="E4" s="29" t="s">
        <v>70</v>
      </c>
      <c r="F4" s="29" t="s">
        <v>127</v>
      </c>
      <c r="G4" s="96">
        <v>1</v>
      </c>
      <c r="H4" s="29" t="s">
        <v>129</v>
      </c>
      <c r="I4" s="29" t="s">
        <v>129</v>
      </c>
    </row>
    <row r="5" spans="1:9">
      <c r="B5" s="29" t="s">
        <v>86</v>
      </c>
      <c r="C5" s="29" t="s">
        <v>77</v>
      </c>
      <c r="D5" s="29" t="s">
        <v>77</v>
      </c>
      <c r="E5" s="29" t="s">
        <v>77</v>
      </c>
      <c r="G5" s="96">
        <v>1.5</v>
      </c>
      <c r="H5" s="29" t="s">
        <v>130</v>
      </c>
      <c r="I5" s="29" t="s">
        <v>130</v>
      </c>
    </row>
    <row r="6" spans="1:9">
      <c r="G6" s="96">
        <v>2</v>
      </c>
    </row>
  </sheetData>
  <phoneticPr fontId="7"/>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D7215-0701-46E6-9A03-20871A4F6F4F}">
  <sheetPr>
    <pageSetUpPr fitToPage="1"/>
  </sheetPr>
  <dimension ref="N8:R30"/>
  <sheetViews>
    <sheetView tabSelected="1" workbookViewId="0"/>
  </sheetViews>
  <sheetFormatPr defaultRowHeight="15.75"/>
  <cols>
    <col min="1" max="15" width="2.625" style="1" customWidth="1"/>
    <col min="16" max="16" width="51.625" style="98" bestFit="1" customWidth="1"/>
    <col min="17" max="32" width="2.625" style="1" customWidth="1"/>
    <col min="33" max="16384" width="9" style="1"/>
  </cols>
  <sheetData>
    <row r="8" spans="14:18" ht="21">
      <c r="P8" s="106" t="s">
        <v>168</v>
      </c>
    </row>
    <row r="9" spans="14:18">
      <c r="N9" s="104"/>
      <c r="O9" s="104"/>
      <c r="P9" s="105"/>
      <c r="Q9" s="104"/>
      <c r="R9" s="104"/>
    </row>
    <row r="24" spans="16:16" ht="19.5">
      <c r="P24" s="107" t="s">
        <v>190</v>
      </c>
    </row>
    <row r="25" spans="16:16" ht="19.5">
      <c r="P25" s="107">
        <v>45061</v>
      </c>
    </row>
    <row r="29" spans="16:16" ht="19.5">
      <c r="P29" s="97" t="s">
        <v>167</v>
      </c>
    </row>
    <row r="30" spans="16:16" ht="19.5">
      <c r="P30" s="97" t="s">
        <v>174</v>
      </c>
    </row>
  </sheetData>
  <phoneticPr fontId="7"/>
  <pageMargins left="0.25" right="0.25"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AD2CC-6E66-4BF2-AFBC-273A503ED810}">
  <sheetPr>
    <pageSetUpPr fitToPage="1"/>
  </sheetPr>
  <dimension ref="A1:G49"/>
  <sheetViews>
    <sheetView workbookViewId="0"/>
  </sheetViews>
  <sheetFormatPr defaultRowHeight="15.75"/>
  <cols>
    <col min="1" max="1" width="3.125" style="86" customWidth="1"/>
    <col min="2" max="2" width="12.5" style="84" bestFit="1" customWidth="1"/>
    <col min="3" max="3" width="34.375" style="84" bestFit="1" customWidth="1"/>
    <col min="4" max="4" width="11.125" style="84" bestFit="1" customWidth="1"/>
    <col min="5" max="5" width="63.625" style="84" customWidth="1"/>
    <col min="6" max="16384" width="9" style="84"/>
  </cols>
  <sheetData>
    <row r="1" spans="1:2" s="86" customFormat="1">
      <c r="A1" s="87" t="s">
        <v>159</v>
      </c>
    </row>
    <row r="2" spans="1:2" s="86" customFormat="1">
      <c r="B2" s="86" t="s">
        <v>158</v>
      </c>
    </row>
    <row r="3" spans="1:2" s="86" customFormat="1">
      <c r="B3" s="86" t="s">
        <v>160</v>
      </c>
    </row>
    <row r="4" spans="1:2" s="86" customFormat="1"/>
    <row r="5" spans="1:2" s="86" customFormat="1">
      <c r="B5" s="88" t="s">
        <v>191</v>
      </c>
    </row>
    <row r="7" spans="1:2" s="86" customFormat="1">
      <c r="A7" s="87" t="s">
        <v>145</v>
      </c>
    </row>
    <row r="8" spans="1:2" s="86" customFormat="1">
      <c r="B8" s="86" t="s">
        <v>146</v>
      </c>
    </row>
    <row r="9" spans="1:2" s="95" customFormat="1"/>
    <row r="10" spans="1:2" s="95" customFormat="1"/>
    <row r="11" spans="1:2" s="95" customFormat="1"/>
    <row r="12" spans="1:2" s="95" customFormat="1"/>
    <row r="13" spans="1:2" s="95" customFormat="1"/>
    <row r="14" spans="1:2" s="95" customFormat="1"/>
    <row r="15" spans="1:2" s="86" customFormat="1"/>
    <row r="16" spans="1:2" s="86" customFormat="1"/>
    <row r="17" spans="1:7" s="86" customFormat="1"/>
    <row r="18" spans="1:7" s="86" customFormat="1"/>
    <row r="19" spans="1:7" s="86" customFormat="1"/>
    <row r="20" spans="1:7" s="86" customFormat="1"/>
    <row r="21" spans="1:7" s="86" customFormat="1"/>
    <row r="22" spans="1:7" s="86" customFormat="1"/>
    <row r="23" spans="1:7" s="86" customFormat="1"/>
    <row r="24" spans="1:7" s="86" customFormat="1"/>
    <row r="25" spans="1:7" s="86" customFormat="1"/>
    <row r="26" spans="1:7" s="86" customFormat="1"/>
    <row r="27" spans="1:7" s="86" customFormat="1">
      <c r="A27" s="87" t="s">
        <v>141</v>
      </c>
    </row>
    <row r="28" spans="1:7">
      <c r="B28" s="83" t="s">
        <v>136</v>
      </c>
      <c r="C28" s="83" t="s">
        <v>137</v>
      </c>
      <c r="D28" s="83" t="s">
        <v>144</v>
      </c>
      <c r="E28" s="83" t="s">
        <v>138</v>
      </c>
      <c r="F28" s="83" t="s">
        <v>149</v>
      </c>
      <c r="G28" s="83" t="s">
        <v>150</v>
      </c>
    </row>
    <row r="29" spans="1:7" ht="47.25">
      <c r="B29" s="116" t="s">
        <v>139</v>
      </c>
      <c r="C29" s="85" t="s">
        <v>143</v>
      </c>
      <c r="D29" s="116" t="s">
        <v>142</v>
      </c>
      <c r="E29" s="85" t="s">
        <v>140</v>
      </c>
      <c r="F29" s="94" t="s">
        <v>151</v>
      </c>
      <c r="G29" s="94" t="s">
        <v>142</v>
      </c>
    </row>
    <row r="30" spans="1:7" ht="47.25">
      <c r="B30" s="117"/>
      <c r="C30" s="85" t="s">
        <v>162</v>
      </c>
      <c r="D30" s="117"/>
      <c r="E30" s="85" t="s">
        <v>155</v>
      </c>
      <c r="F30" s="94" t="s">
        <v>151</v>
      </c>
      <c r="G30" s="94" t="s">
        <v>151</v>
      </c>
    </row>
    <row r="31" spans="1:7" s="86" customFormat="1">
      <c r="C31" s="86" t="s">
        <v>189</v>
      </c>
    </row>
    <row r="32" spans="1:7" s="86" customFormat="1"/>
    <row r="34" spans="1:2">
      <c r="A34" s="87" t="s">
        <v>147</v>
      </c>
    </row>
    <row r="35" spans="1:2" s="86" customFormat="1">
      <c r="B35" s="10" t="s">
        <v>161</v>
      </c>
    </row>
    <row r="36" spans="1:2" s="86" customFormat="1">
      <c r="B36" s="93" t="s">
        <v>148</v>
      </c>
    </row>
    <row r="37" spans="1:2" s="86" customFormat="1">
      <c r="B37" s="78"/>
    </row>
    <row r="38" spans="1:2" s="86" customFormat="1">
      <c r="B38" s="78"/>
    </row>
    <row r="39" spans="1:2" s="86" customFormat="1"/>
    <row r="42" spans="1:2">
      <c r="A42" s="87" t="s">
        <v>175</v>
      </c>
    </row>
    <row r="43" spans="1:2">
      <c r="B43" s="86" t="s">
        <v>176</v>
      </c>
    </row>
    <row r="44" spans="1:2">
      <c r="B44" s="86" t="s">
        <v>185</v>
      </c>
    </row>
    <row r="45" spans="1:2">
      <c r="B45" s="110" t="s">
        <v>177</v>
      </c>
    </row>
    <row r="46" spans="1:2">
      <c r="B46" s="110" t="s">
        <v>178</v>
      </c>
    </row>
    <row r="47" spans="1:2">
      <c r="B47" s="110" t="s">
        <v>179</v>
      </c>
    </row>
    <row r="48" spans="1:2">
      <c r="B48" s="110" t="s">
        <v>180</v>
      </c>
    </row>
    <row r="49" spans="2:2">
      <c r="B49" s="111" t="s">
        <v>162</v>
      </c>
    </row>
  </sheetData>
  <mergeCells count="2">
    <mergeCell ref="B29:B30"/>
    <mergeCell ref="D29:D30"/>
  </mergeCells>
  <phoneticPr fontId="7"/>
  <pageMargins left="0.23622047244094491" right="0.23622047244094491" top="0.74803149606299213" bottom="0.74803149606299213" header="0.31496062992125984" footer="0.31496062992125984"/>
  <pageSetup paperSize="9" scale="73" orientation="landscape" r:id="rId1"/>
  <headerFooter>
    <oddHeader>&amp;L&amp;A&amp;R&amp;F</oddHead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1AD93-F92B-4B5B-A4D9-D3E31820F3F2}">
  <sheetPr>
    <pageSetUpPr fitToPage="1"/>
  </sheetPr>
  <dimension ref="A1:BM17"/>
  <sheetViews>
    <sheetView workbookViewId="0"/>
  </sheetViews>
  <sheetFormatPr defaultRowHeight="15.75" outlineLevelCol="1"/>
  <cols>
    <col min="1" max="1" width="3.5" style="1" customWidth="1"/>
    <col min="2" max="2" width="11.125" style="2" customWidth="1"/>
    <col min="3" max="3" width="18.5" style="2" customWidth="1"/>
    <col min="4" max="4" width="9.5" style="2" hidden="1" customWidth="1" outlineLevel="1"/>
    <col min="5" max="5" width="7.875" style="2" hidden="1" customWidth="1" outlineLevel="1"/>
    <col min="6" max="6" width="15.75" style="2" hidden="1" customWidth="1" outlineLevel="1"/>
    <col min="7" max="7" width="18.875" style="2" hidden="1" customWidth="1" outlineLevel="1"/>
    <col min="8" max="8" width="10.25" style="2" hidden="1" customWidth="1" outlineLevel="1"/>
    <col min="9" max="9" width="21.875" style="2" hidden="1" customWidth="1" outlineLevel="1"/>
    <col min="10" max="10" width="17.875" style="2" hidden="1" customWidth="1" outlineLevel="1"/>
    <col min="11" max="11" width="2.75" style="2" hidden="1" customWidth="1" collapsed="1"/>
    <col min="12" max="12" width="12" style="2" hidden="1" customWidth="1" outlineLevel="1"/>
    <col min="13" max="13" width="10" style="2" hidden="1" customWidth="1" outlineLevel="1"/>
    <col min="14" max="14" width="10.75" style="2" customWidth="1" collapsed="1"/>
    <col min="15" max="15" width="7.25" style="2" customWidth="1"/>
    <col min="16" max="16" width="7.625" style="2" customWidth="1"/>
    <col min="17" max="17" width="16.25" style="2" hidden="1" customWidth="1" outlineLevel="1"/>
    <col min="18" max="18" width="11.125" style="2" hidden="1" customWidth="1" outlineLevel="1"/>
    <col min="19" max="21" width="7.5" style="2" hidden="1" customWidth="1" outlineLevel="1"/>
    <col min="22" max="22" width="11.875" style="2" hidden="1" customWidth="1" outlineLevel="1"/>
    <col min="23" max="23" width="7.5" style="2" hidden="1" customWidth="1" outlineLevel="1"/>
    <col min="24" max="24" width="14.5" style="2" hidden="1" customWidth="1" outlineLevel="1"/>
    <col min="25" max="25" width="7.5" style="2" hidden="1" customWidth="1" outlineLevel="1"/>
    <col min="26" max="26" width="2.5" style="2" hidden="1" customWidth="1" collapsed="1"/>
    <col min="27" max="27" width="6.875" style="2" customWidth="1"/>
    <col min="28" max="28" width="10.25" style="2" customWidth="1"/>
    <col min="29" max="29" width="9.875" style="2" customWidth="1" outlineLevel="1"/>
    <col min="30" max="30" width="9.5" style="2" customWidth="1" outlineLevel="1"/>
    <col min="31" max="31" width="8" style="2" customWidth="1" outlineLevel="1"/>
    <col min="32" max="33" width="9.875" style="2" customWidth="1" outlineLevel="1"/>
    <col min="34" max="34" width="8.875" style="2" customWidth="1" outlineLevel="1"/>
    <col min="35" max="35" width="8.875" style="2" customWidth="1"/>
    <col min="36" max="36" width="13.125" style="2" hidden="1" customWidth="1" outlineLevel="1"/>
    <col min="37" max="37" width="11.75" style="2" hidden="1" customWidth="1" outlineLevel="1"/>
    <col min="38" max="38" width="11.375" style="2" hidden="1" customWidth="1" outlineLevel="1"/>
    <col min="39" max="39" width="11.875" style="2" hidden="1" customWidth="1" outlineLevel="1"/>
    <col min="40" max="41" width="12" style="2" hidden="1" customWidth="1" outlineLevel="1"/>
    <col min="42" max="42" width="8.75" style="2" customWidth="1" collapsed="1"/>
    <col min="43" max="43" width="10.25" style="2" customWidth="1" outlineLevel="1"/>
    <col min="44" max="44" width="8.75" style="2" customWidth="1" outlineLevel="1"/>
    <col min="45" max="45" width="8" style="2" customWidth="1" outlineLevel="1"/>
    <col min="46" max="47" width="8.5" style="2" customWidth="1" outlineLevel="1"/>
    <col min="48" max="48" width="8.75" style="2" customWidth="1" outlineLevel="1"/>
    <col min="49" max="49" width="8.75" style="2" customWidth="1"/>
    <col min="50" max="50" width="13.25" style="2" hidden="1" customWidth="1" outlineLevel="1"/>
    <col min="51" max="52" width="11.25" style="2" hidden="1" customWidth="1" outlineLevel="1"/>
    <col min="53" max="53" width="11.625" style="2" hidden="1" customWidth="1" outlineLevel="1"/>
    <col min="54" max="54" width="12" style="2" hidden="1" customWidth="1" outlineLevel="1"/>
    <col min="55" max="55" width="10.625" style="2" hidden="1" customWidth="1" outlineLevel="1"/>
    <col min="56" max="56" width="6.5" style="2" customWidth="1" collapsed="1"/>
    <col min="57" max="57" width="13.75" style="2" hidden="1" customWidth="1" outlineLevel="1"/>
    <col min="58" max="59" width="12.625" style="2" hidden="1" customWidth="1" outlineLevel="1"/>
    <col min="60" max="61" width="13.75" style="2" hidden="1" customWidth="1" outlineLevel="1"/>
    <col min="62" max="62" width="12.625" style="2" hidden="1" customWidth="1" outlineLevel="1"/>
    <col min="63" max="63" width="22.75" style="2" customWidth="1" collapsed="1"/>
    <col min="64" max="64" width="7.5" style="2" bestFit="1" customWidth="1"/>
    <col min="65" max="65" width="8.125" style="2" bestFit="1" customWidth="1"/>
    <col min="66" max="16384" width="9" style="2"/>
  </cols>
  <sheetData>
    <row r="1" spans="1:65" s="9" customFormat="1" ht="19.5">
      <c r="A1" s="9" t="s">
        <v>19</v>
      </c>
    </row>
    <row r="2" spans="1:65" s="3" customFormat="1">
      <c r="N2" s="92" t="s">
        <v>135</v>
      </c>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row>
    <row r="3" spans="1:65" s="3" customFormat="1" ht="15.75" customHeight="1">
      <c r="C3" s="122" t="s">
        <v>20</v>
      </c>
      <c r="D3" s="122"/>
      <c r="E3" s="122"/>
      <c r="F3" s="122"/>
      <c r="G3" s="122"/>
      <c r="H3" s="122"/>
      <c r="I3" s="122"/>
      <c r="J3" s="122"/>
      <c r="K3" s="11"/>
      <c r="L3" s="125" t="s">
        <v>21</v>
      </c>
      <c r="M3" s="126"/>
      <c r="N3" s="126"/>
      <c r="O3" s="126"/>
      <c r="P3" s="126"/>
      <c r="Q3" s="126"/>
      <c r="R3" s="126"/>
      <c r="S3" s="126"/>
      <c r="T3" s="126"/>
      <c r="U3" s="126"/>
      <c r="V3" s="126"/>
      <c r="W3" s="126"/>
      <c r="X3" s="126"/>
      <c r="Y3" s="126"/>
      <c r="Z3" s="126"/>
      <c r="AA3" s="127"/>
      <c r="AB3" s="123" t="s">
        <v>22</v>
      </c>
      <c r="AC3" s="123"/>
      <c r="AD3" s="123"/>
      <c r="AE3" s="123"/>
      <c r="AF3" s="123"/>
      <c r="AG3" s="123"/>
      <c r="AH3" s="123"/>
      <c r="AI3" s="123"/>
      <c r="AJ3" s="124" t="s">
        <v>23</v>
      </c>
      <c r="AK3" s="124"/>
      <c r="AL3" s="124"/>
      <c r="AM3" s="124"/>
      <c r="AN3" s="124"/>
      <c r="AO3" s="124"/>
      <c r="AP3" s="124"/>
      <c r="AQ3" s="118" t="s">
        <v>2</v>
      </c>
      <c r="AR3" s="119"/>
      <c r="AS3" s="119"/>
      <c r="AT3" s="119"/>
      <c r="AU3" s="119"/>
      <c r="AV3" s="119"/>
      <c r="AW3" s="120"/>
      <c r="AX3" s="118" t="s">
        <v>24</v>
      </c>
      <c r="AY3" s="119"/>
      <c r="AZ3" s="119"/>
      <c r="BA3" s="119"/>
      <c r="BB3" s="119"/>
      <c r="BC3" s="119"/>
      <c r="BD3" s="120"/>
      <c r="BE3" s="118" t="s">
        <v>188</v>
      </c>
      <c r="BF3" s="119"/>
      <c r="BG3" s="119"/>
      <c r="BH3" s="119"/>
      <c r="BI3" s="119"/>
      <c r="BJ3" s="119"/>
      <c r="BK3" s="120"/>
    </row>
    <row r="4" spans="1:65" ht="37.5">
      <c r="B4" s="89" t="s">
        <v>25</v>
      </c>
      <c r="C4" s="89" t="s">
        <v>132</v>
      </c>
      <c r="D4" s="13" t="s">
        <v>26</v>
      </c>
      <c r="E4" s="13" t="s">
        <v>27</v>
      </c>
      <c r="F4" s="12" t="s">
        <v>28</v>
      </c>
      <c r="G4" s="13" t="s">
        <v>29</v>
      </c>
      <c r="H4" s="13" t="s">
        <v>30</v>
      </c>
      <c r="I4" s="12" t="s">
        <v>31</v>
      </c>
      <c r="J4" s="13" t="s">
        <v>32</v>
      </c>
      <c r="K4" s="14" t="s">
        <v>15</v>
      </c>
      <c r="L4" s="15" t="s">
        <v>33</v>
      </c>
      <c r="M4" s="15" t="s">
        <v>34</v>
      </c>
      <c r="N4" s="90" t="s">
        <v>35</v>
      </c>
      <c r="O4" s="90" t="s">
        <v>36</v>
      </c>
      <c r="P4" s="90" t="s">
        <v>37</v>
      </c>
      <c r="Q4" s="15" t="s">
        <v>42</v>
      </c>
      <c r="R4" s="15" t="s">
        <v>43</v>
      </c>
      <c r="S4" s="15" t="s">
        <v>38</v>
      </c>
      <c r="T4" s="15" t="s">
        <v>39</v>
      </c>
      <c r="U4" s="15" t="s">
        <v>40</v>
      </c>
      <c r="V4" s="15" t="s">
        <v>41</v>
      </c>
      <c r="W4" s="15" t="s">
        <v>120</v>
      </c>
      <c r="X4" s="15" t="s">
        <v>121</v>
      </c>
      <c r="Y4" s="15" t="s">
        <v>122</v>
      </c>
      <c r="Z4" s="14" t="s">
        <v>44</v>
      </c>
      <c r="AA4" s="32" t="s">
        <v>92</v>
      </c>
      <c r="AB4" s="16" t="s">
        <v>14</v>
      </c>
      <c r="AC4" s="17" t="s">
        <v>98</v>
      </c>
      <c r="AD4" s="17" t="s">
        <v>94</v>
      </c>
      <c r="AE4" s="17" t="s">
        <v>95</v>
      </c>
      <c r="AF4" s="17" t="s">
        <v>96</v>
      </c>
      <c r="AG4" s="17" t="s">
        <v>97</v>
      </c>
      <c r="AH4" s="17" t="s">
        <v>45</v>
      </c>
      <c r="AI4" s="44" t="s">
        <v>16</v>
      </c>
      <c r="AJ4" s="18" t="s">
        <v>99</v>
      </c>
      <c r="AK4" s="18" t="s">
        <v>100</v>
      </c>
      <c r="AL4" s="18" t="s">
        <v>101</v>
      </c>
      <c r="AM4" s="18" t="s">
        <v>102</v>
      </c>
      <c r="AN4" s="18" t="s">
        <v>103</v>
      </c>
      <c r="AO4" s="18" t="s">
        <v>46</v>
      </c>
      <c r="AP4" s="18" t="s">
        <v>23</v>
      </c>
      <c r="AQ4" s="91" t="s">
        <v>104</v>
      </c>
      <c r="AR4" s="91" t="s">
        <v>105</v>
      </c>
      <c r="AS4" s="91" t="s">
        <v>106</v>
      </c>
      <c r="AT4" s="91" t="s">
        <v>107</v>
      </c>
      <c r="AU4" s="91" t="s">
        <v>108</v>
      </c>
      <c r="AV4" s="91" t="s">
        <v>47</v>
      </c>
      <c r="AW4" s="18" t="s">
        <v>2</v>
      </c>
      <c r="AX4" s="18" t="s">
        <v>110</v>
      </c>
      <c r="AY4" s="18" t="s">
        <v>111</v>
      </c>
      <c r="AZ4" s="18" t="s">
        <v>112</v>
      </c>
      <c r="BA4" s="18" t="s">
        <v>113</v>
      </c>
      <c r="BB4" s="18" t="s">
        <v>114</v>
      </c>
      <c r="BC4" s="18" t="s">
        <v>109</v>
      </c>
      <c r="BD4" s="18" t="s">
        <v>48</v>
      </c>
      <c r="BE4" s="18" t="s">
        <v>115</v>
      </c>
      <c r="BF4" s="18" t="s">
        <v>116</v>
      </c>
      <c r="BG4" s="18" t="s">
        <v>117</v>
      </c>
      <c r="BH4" s="18" t="s">
        <v>118</v>
      </c>
      <c r="BI4" s="18" t="s">
        <v>119</v>
      </c>
      <c r="BJ4" s="18" t="s">
        <v>49</v>
      </c>
      <c r="BK4" s="18" t="s">
        <v>188</v>
      </c>
      <c r="BL4" s="18" t="s">
        <v>131</v>
      </c>
      <c r="BM4" s="18" t="s">
        <v>50</v>
      </c>
    </row>
    <row r="5" spans="1:65" s="3" customFormat="1" ht="31.5" customHeight="1">
      <c r="A5" s="82" t="s">
        <v>134</v>
      </c>
      <c r="B5" s="45"/>
      <c r="C5" s="46"/>
      <c r="D5" s="46"/>
      <c r="E5" s="46"/>
      <c r="F5" s="46"/>
      <c r="G5" s="46"/>
      <c r="H5" s="46"/>
      <c r="I5" s="46"/>
      <c r="J5" s="47"/>
      <c r="K5" s="47"/>
      <c r="L5" s="46"/>
      <c r="M5" s="46"/>
      <c r="N5" s="46"/>
      <c r="O5" s="46"/>
      <c r="P5" s="46"/>
      <c r="Q5" s="46"/>
      <c r="R5" s="46"/>
      <c r="S5" s="48"/>
      <c r="T5" s="49"/>
      <c r="U5" s="49"/>
      <c r="V5" s="50"/>
      <c r="W5" s="51"/>
      <c r="X5" s="51"/>
      <c r="Y5" s="51"/>
      <c r="Z5" s="46"/>
      <c r="AA5" s="52">
        <f>3*COUNTIF(テーブル334[[#This Row],[ダウンタイム許容度]:[社会影響度]],"H")+2*COUNTIF(テーブル334[[#This Row],[ダウンタイム許容度]:[社会影響度]],"M")+1*COUNTIF(テーブル334[[#This Row],[ダウンタイム許容度]:[社会影響度]],"L")</f>
        <v>0</v>
      </c>
      <c r="AB5" s="52"/>
      <c r="AC5" s="53"/>
      <c r="AD5" s="53"/>
      <c r="AE5" s="53"/>
      <c r="AF5" s="53"/>
      <c r="AG5" s="53"/>
      <c r="AH5" s="53"/>
      <c r="AI5" s="51">
        <f>SUM(テーブル334[[#This Row],[点数（データ活用性）]:[点数（IT資産）]])</f>
        <v>0</v>
      </c>
      <c r="AJ5" s="54">
        <f>テーブル334[[#This Row],[点数（データ活用性）]]*テーブル334[[#This Row],[重み]]</f>
        <v>0</v>
      </c>
      <c r="AK5" s="54">
        <f>テーブル334[[#This Row],[点数（アジリティ）]]*テーブル334[[#This Row],[重み]]</f>
        <v>0</v>
      </c>
      <c r="AL5" s="54">
        <f>テーブル334[[#This Row],[点数（スピード）]]*テーブル334[[#This Row],[重み]]</f>
        <v>0</v>
      </c>
      <c r="AM5" s="54">
        <f>テーブル334[[#This Row],[点数（利用品質）]]*テーブル334[[#This Row],[重み]]</f>
        <v>0</v>
      </c>
      <c r="AN5" s="54">
        <f>テーブル334[[#This Row],[点数（開発品質）]]*テーブル334[[#This Row],[重み]]</f>
        <v>0</v>
      </c>
      <c r="AO5" s="54">
        <f>テーブル334[[#This Row],[点数（IT資産）]]*テーブル334[[#This Row],[重み]]</f>
        <v>0</v>
      </c>
      <c r="AP5" s="53">
        <f>SUM(テーブル334[[#This Row],[点数（データ活用性）×重み]:[点数（IT資産）×重み]])</f>
        <v>0</v>
      </c>
      <c r="AQ5" s="53"/>
      <c r="AR5" s="53"/>
      <c r="AS5" s="53"/>
      <c r="AT5" s="53"/>
      <c r="AU5" s="53"/>
      <c r="AV5" s="53"/>
      <c r="AW5" s="53">
        <f>SUM(テーブル334[[#This Row],[配点（データ活用性）]:[配点（IT資産）]])</f>
        <v>0</v>
      </c>
      <c r="AX5" s="53">
        <f>テーブル334[[#This Row],[配点（データ活用性）]]*テーブル334[[#This Row],[重み]]</f>
        <v>0</v>
      </c>
      <c r="AY5" s="53">
        <f>テーブル334[[#This Row],[配点（アジリティ）]]*テーブル334[[#This Row],[重み]]</f>
        <v>0</v>
      </c>
      <c r="AZ5" s="53">
        <f>テーブル334[[#This Row],[配点（スピード）]]*テーブル334[[#This Row],[重み]]</f>
        <v>0</v>
      </c>
      <c r="BA5" s="53">
        <f>テーブル334[[#This Row],[配点（利用品質）]]*テーブル334[[#This Row],[重み]]</f>
        <v>0</v>
      </c>
      <c r="BB5" s="53">
        <f>テーブル334[[#This Row],[配点（開発品質）]]*テーブル334[[#This Row],[重み]]</f>
        <v>0</v>
      </c>
      <c r="BC5" s="53">
        <f>テーブル334[[#This Row],[配点（IT資産）]]*テーブル334[[#This Row],[重み]]</f>
        <v>0</v>
      </c>
      <c r="BD5" s="53">
        <f>SUM(テーブル334[[#This Row],[配点（データ活用性）×重み]:[配点（IT資産）×重み]])</f>
        <v>0</v>
      </c>
      <c r="BE5" s="53" t="e">
        <f>テーブル334[[#This Row],[点数（データ活用性）×重み]]*(テーブル334[[#Totals],[配点（データ活用性）]]/テーブル334[[#Totals],[配点（データ活用性）×重み]])</f>
        <v>#DIV/0!</v>
      </c>
      <c r="BF5" s="53" t="e">
        <f>テーブル334[[#This Row],[点数（アジリティ）×重み]]*(テーブル334[[#Totals],[配点（アジリティ）]]/テーブル334[[#Totals],[配点（アジリティ）×重み]])</f>
        <v>#DIV/0!</v>
      </c>
      <c r="BG5" s="53" t="e">
        <f>テーブル334[[#This Row],[点数（スピード）×重み]]*(テーブル334[[#Totals],[配点（スピード）]]/テーブル334[[#Totals],[配点（スピード）×重み]])</f>
        <v>#DIV/0!</v>
      </c>
      <c r="BH5" s="53" t="e">
        <f>テーブル334[[#This Row],[点数（利用品質）×重み]]*(テーブル334[[#Totals],[配点（利用品質）]]/テーブル334[[#Totals],[配点（利用品質）×重み]])</f>
        <v>#DIV/0!</v>
      </c>
      <c r="BI5" s="53" t="e">
        <f>テーブル334[[#This Row],[点数（開発品質）×重み]]*(テーブル334[[#Totals],[配点（開発品質）]]/テーブル334[[#Totals],[配点（開発品質）×重み]])</f>
        <v>#DIV/0!</v>
      </c>
      <c r="BJ5" s="53" t="e">
        <f>テーブル334[[#This Row],[点数（IT資産）×重み]]*(テーブル334[[#Totals],[配点（IT資産）]]/テーブル334[[#Totals],[配点（IT資産）×重み]])</f>
        <v>#DIV/0!</v>
      </c>
      <c r="BK5" s="53" t="e">
        <f>テーブル334[[#This Row],[点数×重み]]*(テーブル334[[#Totals],[配点]]/テーブル334[[#Totals],[配点×重み]])</f>
        <v>#DIV/0!</v>
      </c>
      <c r="BL5" s="53" t="e">
        <f>テーブル334[[#This Row],[点数×重み×配点の合計／（配点×重みの合計）]]/テーブル334[[#Totals],[配点]]*100</f>
        <v>#DIV/0!</v>
      </c>
      <c r="BM5" s="69" t="e">
        <f>テーブル334[[#This Row],[配点×重み]]/テーブル334[[#Totals],[配点×重み]]</f>
        <v>#DIV/0!</v>
      </c>
    </row>
    <row r="6" spans="1:65" s="3" customFormat="1" ht="31.5" customHeight="1">
      <c r="A6" s="121"/>
      <c r="B6" s="55"/>
      <c r="J6" s="56"/>
      <c r="K6" s="56"/>
      <c r="Q6" s="3" t="s">
        <v>71</v>
      </c>
      <c r="R6" s="3" t="s">
        <v>72</v>
      </c>
      <c r="S6" s="57"/>
      <c r="T6" s="58"/>
      <c r="U6" s="58"/>
      <c r="V6" s="59"/>
      <c r="W6" s="53"/>
      <c r="X6" s="53"/>
      <c r="Y6" s="53"/>
      <c r="AA6" s="52">
        <f>3*COUNTIF(テーブル334[[#This Row],[ダウンタイム許容度]:[社会影響度]],"H")+2*COUNTIF(テーブル334[[#This Row],[ダウンタイム許容度]:[社会影響度]],"M")+1*COUNTIF(テーブル334[[#This Row],[ダウンタイム許容度]:[社会影響度]],"L")</f>
        <v>0</v>
      </c>
      <c r="AB6" s="52"/>
      <c r="AC6" s="79"/>
      <c r="AD6" s="53"/>
      <c r="AE6" s="53"/>
      <c r="AF6" s="79"/>
      <c r="AG6" s="79"/>
      <c r="AH6" s="53"/>
      <c r="AI6" s="53">
        <f>SUM(テーブル334[[#This Row],[点数（データ活用性）]:[点数（IT資産）]])</f>
        <v>0</v>
      </c>
      <c r="AJ6" s="54">
        <f>テーブル334[[#This Row],[点数（データ活用性）]]*テーブル334[[#This Row],[重み]]</f>
        <v>0</v>
      </c>
      <c r="AK6" s="54">
        <f>テーブル334[[#This Row],[点数（アジリティ）]]*テーブル334[[#This Row],[重み]]</f>
        <v>0</v>
      </c>
      <c r="AL6" s="54">
        <f>テーブル334[[#This Row],[点数（スピード）]]*テーブル334[[#This Row],[重み]]</f>
        <v>0</v>
      </c>
      <c r="AM6" s="54">
        <f>テーブル334[[#This Row],[点数（利用品質）]]*テーブル334[[#This Row],[重み]]</f>
        <v>0</v>
      </c>
      <c r="AN6" s="54">
        <f>テーブル334[[#This Row],[点数（開発品質）]]*テーブル334[[#This Row],[重み]]</f>
        <v>0</v>
      </c>
      <c r="AO6" s="54">
        <f>テーブル334[[#This Row],[点数（IT資産）]]*テーブル334[[#This Row],[重み]]</f>
        <v>0</v>
      </c>
      <c r="AP6" s="53">
        <f>SUM(テーブル334[[#This Row],[点数（データ活用性）×重み]:[点数（IT資産）×重み]])</f>
        <v>0</v>
      </c>
      <c r="AQ6" s="53"/>
      <c r="AR6" s="53"/>
      <c r="AS6" s="53"/>
      <c r="AT6" s="53"/>
      <c r="AU6" s="53"/>
      <c r="AV6" s="53"/>
      <c r="AW6" s="53">
        <f>SUM(テーブル334[[#This Row],[配点（データ活用性）]:[配点（IT資産）]])</f>
        <v>0</v>
      </c>
      <c r="AX6" s="53">
        <f>テーブル334[[#This Row],[配点（データ活用性）]]*テーブル334[[#This Row],[重み]]</f>
        <v>0</v>
      </c>
      <c r="AY6" s="53">
        <f>テーブル334[[#This Row],[配点（アジリティ）]]*テーブル334[[#This Row],[重み]]</f>
        <v>0</v>
      </c>
      <c r="AZ6" s="53">
        <f>テーブル334[[#This Row],[配点（スピード）]]*テーブル334[[#This Row],[重み]]</f>
        <v>0</v>
      </c>
      <c r="BA6" s="53">
        <f>テーブル334[[#This Row],[配点（利用品質）]]*テーブル334[[#This Row],[重み]]</f>
        <v>0</v>
      </c>
      <c r="BB6" s="53">
        <f>テーブル334[[#This Row],[配点（開発品質）]]*テーブル334[[#This Row],[重み]]</f>
        <v>0</v>
      </c>
      <c r="BC6" s="53">
        <f>テーブル334[[#This Row],[配点（IT資産）]]*テーブル334[[#This Row],[重み]]</f>
        <v>0</v>
      </c>
      <c r="BD6" s="53">
        <f>SUM(テーブル334[[#This Row],[配点（データ活用性）×重み]:[配点（IT資産）×重み]])</f>
        <v>0</v>
      </c>
      <c r="BE6" s="53" t="e">
        <f>テーブル334[[#This Row],[点数（データ活用性）×重み]]*(テーブル334[[#Totals],[配点（データ活用性）]]/テーブル334[[#Totals],[配点（データ活用性）×重み]])</f>
        <v>#DIV/0!</v>
      </c>
      <c r="BF6" s="53" t="e">
        <f>テーブル334[[#This Row],[点数（アジリティ）×重み]]*(テーブル334[[#Totals],[配点（アジリティ）]]/テーブル334[[#Totals],[配点（アジリティ）×重み]])</f>
        <v>#DIV/0!</v>
      </c>
      <c r="BG6" s="53" t="e">
        <f>テーブル334[[#This Row],[点数（スピード）×重み]]*(テーブル334[[#Totals],[配点（スピード）]]/テーブル334[[#Totals],[配点（スピード）×重み]])</f>
        <v>#DIV/0!</v>
      </c>
      <c r="BH6" s="53" t="e">
        <f>テーブル334[[#This Row],[点数（利用品質）×重み]]*(テーブル334[[#Totals],[配点（利用品質）]]/テーブル334[[#Totals],[配点（利用品質）×重み]])</f>
        <v>#DIV/0!</v>
      </c>
      <c r="BI6" s="53" t="e">
        <f>テーブル334[[#This Row],[点数（開発品質）×重み]]*(テーブル334[[#Totals],[配点（開発品質）]]/テーブル334[[#Totals],[配点（開発品質）×重み]])</f>
        <v>#DIV/0!</v>
      </c>
      <c r="BJ6" s="53" t="e">
        <f>テーブル334[[#This Row],[点数（IT資産）×重み]]*(テーブル334[[#Totals],[配点（IT資産）]]/テーブル334[[#Totals],[配点（IT資産）×重み]])</f>
        <v>#DIV/0!</v>
      </c>
      <c r="BK6" s="53" t="e">
        <f>テーブル334[[#This Row],[点数×重み]]*(テーブル334[[#Totals],[配点]]/テーブル334[[#Totals],[配点×重み]])</f>
        <v>#DIV/0!</v>
      </c>
      <c r="BL6" s="53" t="e">
        <f>テーブル334[[#This Row],[点数×重み×配点の合計／（配点×重みの合計）]]/テーブル334[[#Totals],[配点]]*100</f>
        <v>#DIV/0!</v>
      </c>
      <c r="BM6" s="69" t="e">
        <f>テーブル334[[#This Row],[配点×重み]]/テーブル334[[#Totals],[配点×重み]]</f>
        <v>#DIV/0!</v>
      </c>
    </row>
    <row r="7" spans="1:65" s="3" customFormat="1" ht="31.5" customHeight="1">
      <c r="A7" s="121"/>
      <c r="B7" s="45"/>
      <c r="C7" s="46"/>
      <c r="D7" s="46"/>
      <c r="E7" s="46"/>
      <c r="F7" s="46"/>
      <c r="G7" s="46"/>
      <c r="H7" s="46"/>
      <c r="I7" s="46"/>
      <c r="J7" s="47"/>
      <c r="K7" s="47"/>
      <c r="L7" s="46"/>
      <c r="M7" s="46"/>
      <c r="N7" s="46"/>
      <c r="O7" s="46"/>
      <c r="P7" s="46"/>
      <c r="Q7" s="46" t="s">
        <v>78</v>
      </c>
      <c r="R7" s="46" t="s">
        <v>79</v>
      </c>
      <c r="S7" s="48"/>
      <c r="T7" s="49"/>
      <c r="U7" s="49"/>
      <c r="V7" s="50"/>
      <c r="W7" s="51"/>
      <c r="X7" s="51"/>
      <c r="Y7" s="51"/>
      <c r="Z7" s="46"/>
      <c r="AA7" s="52">
        <f>3*COUNTIF(テーブル334[[#This Row],[ダウンタイム許容度]:[社会影響度]],"H")+2*COUNTIF(テーブル334[[#This Row],[ダウンタイム許容度]:[社会影響度]],"M")+1*COUNTIF(テーブル334[[#This Row],[ダウンタイム許容度]:[社会影響度]],"L")</f>
        <v>0</v>
      </c>
      <c r="AB7" s="52"/>
      <c r="AC7" s="51"/>
      <c r="AD7" s="51"/>
      <c r="AE7" s="51"/>
      <c r="AF7" s="80"/>
      <c r="AG7" s="80"/>
      <c r="AH7" s="80"/>
      <c r="AI7" s="51">
        <f>SUM(テーブル334[[#This Row],[点数（データ活用性）]:[点数（IT資産）]])</f>
        <v>0</v>
      </c>
      <c r="AJ7" s="54">
        <f>テーブル334[[#This Row],[点数（データ活用性）]]*テーブル334[[#This Row],[重み]]</f>
        <v>0</v>
      </c>
      <c r="AK7" s="54">
        <f>テーブル334[[#This Row],[点数（アジリティ）]]*テーブル334[[#This Row],[重み]]</f>
        <v>0</v>
      </c>
      <c r="AL7" s="54">
        <f>テーブル334[[#This Row],[点数（スピード）]]*テーブル334[[#This Row],[重み]]</f>
        <v>0</v>
      </c>
      <c r="AM7" s="54">
        <f>テーブル334[[#This Row],[点数（利用品質）]]*テーブル334[[#This Row],[重み]]</f>
        <v>0</v>
      </c>
      <c r="AN7" s="54">
        <f>テーブル334[[#This Row],[点数（開発品質）]]*テーブル334[[#This Row],[重み]]</f>
        <v>0</v>
      </c>
      <c r="AO7" s="54">
        <f>テーブル334[[#This Row],[点数（IT資産）]]*テーブル334[[#This Row],[重み]]</f>
        <v>0</v>
      </c>
      <c r="AP7" s="53">
        <f>SUM(テーブル334[[#This Row],[点数（データ活用性）×重み]:[点数（IT資産）×重み]])</f>
        <v>0</v>
      </c>
      <c r="AQ7" s="53"/>
      <c r="AR7" s="53"/>
      <c r="AS7" s="53"/>
      <c r="AT7" s="53"/>
      <c r="AU7" s="53"/>
      <c r="AV7" s="53"/>
      <c r="AW7" s="53">
        <f>SUM(テーブル334[[#This Row],[配点（データ活用性）]:[配点（IT資産）]])</f>
        <v>0</v>
      </c>
      <c r="AX7" s="53">
        <f>テーブル334[[#This Row],[配点（データ活用性）]]*テーブル334[[#This Row],[重み]]</f>
        <v>0</v>
      </c>
      <c r="AY7" s="53">
        <f>テーブル334[[#This Row],[配点（アジリティ）]]*テーブル334[[#This Row],[重み]]</f>
        <v>0</v>
      </c>
      <c r="AZ7" s="53">
        <f>テーブル334[[#This Row],[配点（スピード）]]*テーブル334[[#This Row],[重み]]</f>
        <v>0</v>
      </c>
      <c r="BA7" s="53">
        <f>テーブル334[[#This Row],[配点（利用品質）]]*テーブル334[[#This Row],[重み]]</f>
        <v>0</v>
      </c>
      <c r="BB7" s="53">
        <f>テーブル334[[#This Row],[配点（開発品質）]]*テーブル334[[#This Row],[重み]]</f>
        <v>0</v>
      </c>
      <c r="BC7" s="53">
        <f>テーブル334[[#This Row],[配点（IT資産）]]*テーブル334[[#This Row],[重み]]</f>
        <v>0</v>
      </c>
      <c r="BD7" s="53">
        <f>SUM(テーブル334[[#This Row],[配点（データ活用性）×重み]:[配点（IT資産）×重み]])</f>
        <v>0</v>
      </c>
      <c r="BE7" s="53" t="e">
        <f>テーブル334[[#This Row],[点数（データ活用性）×重み]]*(テーブル334[[#Totals],[配点（データ活用性）]]/テーブル334[[#Totals],[配点（データ活用性）×重み]])</f>
        <v>#DIV/0!</v>
      </c>
      <c r="BF7" s="53" t="e">
        <f>テーブル334[[#This Row],[点数（アジリティ）×重み]]*(テーブル334[[#Totals],[配点（アジリティ）]]/テーブル334[[#Totals],[配点（アジリティ）×重み]])</f>
        <v>#DIV/0!</v>
      </c>
      <c r="BG7" s="53" t="e">
        <f>テーブル334[[#This Row],[点数（スピード）×重み]]*(テーブル334[[#Totals],[配点（スピード）]]/テーブル334[[#Totals],[配点（スピード）×重み]])</f>
        <v>#DIV/0!</v>
      </c>
      <c r="BH7" s="53" t="e">
        <f>テーブル334[[#This Row],[点数（利用品質）×重み]]*(テーブル334[[#Totals],[配点（利用品質）]]/テーブル334[[#Totals],[配点（利用品質）×重み]])</f>
        <v>#DIV/0!</v>
      </c>
      <c r="BI7" s="53" t="e">
        <f>テーブル334[[#This Row],[点数（開発品質）×重み]]*(テーブル334[[#Totals],[配点（開発品質）]]/テーブル334[[#Totals],[配点（開発品質）×重み]])</f>
        <v>#DIV/0!</v>
      </c>
      <c r="BJ7" s="53" t="e">
        <f>テーブル334[[#This Row],[点数（IT資産）×重み]]*(テーブル334[[#Totals],[配点（IT資産）]]/テーブル334[[#Totals],[配点（IT資産）×重み]])</f>
        <v>#DIV/0!</v>
      </c>
      <c r="BK7" s="53" t="e">
        <f>テーブル334[[#This Row],[点数×重み]]*(テーブル334[[#Totals],[配点]]/テーブル334[[#Totals],[配点×重み]])</f>
        <v>#DIV/0!</v>
      </c>
      <c r="BL7" s="53" t="e">
        <f>テーブル334[[#This Row],[点数×重み×配点の合計／（配点×重みの合計）]]/テーブル334[[#Totals],[配点]]*100</f>
        <v>#DIV/0!</v>
      </c>
      <c r="BM7" s="69" t="e">
        <f>テーブル334[[#This Row],[配点×重み]]/テーブル334[[#Totals],[配点×重み]]</f>
        <v>#DIV/0!</v>
      </c>
    </row>
    <row r="8" spans="1:65" s="3" customFormat="1" ht="31.5" customHeight="1">
      <c r="A8" s="121"/>
      <c r="B8" s="55"/>
      <c r="J8" s="56"/>
      <c r="K8" s="56"/>
      <c r="S8" s="57"/>
      <c r="T8" s="58"/>
      <c r="U8" s="58"/>
      <c r="V8" s="59"/>
      <c r="W8" s="53"/>
      <c r="X8" s="53"/>
      <c r="Y8" s="53"/>
      <c r="AA8" s="52">
        <f>3*COUNTIF(テーブル334[[#This Row],[ダウンタイム許容度]:[社会影響度]],"H")+2*COUNTIF(テーブル334[[#This Row],[ダウンタイム許容度]:[社会影響度]],"M")+1*COUNTIF(テーブル334[[#This Row],[ダウンタイム許容度]:[社会影響度]],"L")</f>
        <v>0</v>
      </c>
      <c r="AB8" s="52"/>
      <c r="AC8" s="53"/>
      <c r="AD8" s="53"/>
      <c r="AE8" s="53"/>
      <c r="AF8" s="53"/>
      <c r="AG8" s="53"/>
      <c r="AH8" s="53"/>
      <c r="AI8" s="53">
        <f>SUM(テーブル334[[#This Row],[点数（データ活用性）]:[点数（IT資産）]])</f>
        <v>0</v>
      </c>
      <c r="AJ8" s="54">
        <f>テーブル334[[#This Row],[点数（データ活用性）]]*テーブル334[[#This Row],[重み]]</f>
        <v>0</v>
      </c>
      <c r="AK8" s="54">
        <f>テーブル334[[#This Row],[点数（アジリティ）]]*テーブル334[[#This Row],[重み]]</f>
        <v>0</v>
      </c>
      <c r="AL8" s="54">
        <f>テーブル334[[#This Row],[点数（スピード）]]*テーブル334[[#This Row],[重み]]</f>
        <v>0</v>
      </c>
      <c r="AM8" s="54">
        <f>テーブル334[[#This Row],[点数（利用品質）]]*テーブル334[[#This Row],[重み]]</f>
        <v>0</v>
      </c>
      <c r="AN8" s="54">
        <f>テーブル334[[#This Row],[点数（開発品質）]]*テーブル334[[#This Row],[重み]]</f>
        <v>0</v>
      </c>
      <c r="AO8" s="54">
        <f>テーブル334[[#This Row],[点数（IT資産）]]*テーブル334[[#This Row],[重み]]</f>
        <v>0</v>
      </c>
      <c r="AP8" s="53">
        <f>SUM(テーブル334[[#This Row],[点数（データ活用性）×重み]:[点数（IT資産）×重み]])</f>
        <v>0</v>
      </c>
      <c r="AQ8" s="53"/>
      <c r="AR8" s="53"/>
      <c r="AS8" s="53"/>
      <c r="AT8" s="53"/>
      <c r="AU8" s="53"/>
      <c r="AV8" s="53"/>
      <c r="AW8" s="53">
        <f>SUM(テーブル334[[#This Row],[配点（データ活用性）]:[配点（IT資産）]])</f>
        <v>0</v>
      </c>
      <c r="AX8" s="53">
        <f>テーブル334[[#This Row],[配点（データ活用性）]]*テーブル334[[#This Row],[重み]]</f>
        <v>0</v>
      </c>
      <c r="AY8" s="53">
        <f>テーブル334[[#This Row],[配点（アジリティ）]]*テーブル334[[#This Row],[重み]]</f>
        <v>0</v>
      </c>
      <c r="AZ8" s="53">
        <f>テーブル334[[#This Row],[配点（スピード）]]*テーブル334[[#This Row],[重み]]</f>
        <v>0</v>
      </c>
      <c r="BA8" s="53">
        <f>テーブル334[[#This Row],[配点（利用品質）]]*テーブル334[[#This Row],[重み]]</f>
        <v>0</v>
      </c>
      <c r="BB8" s="53">
        <f>テーブル334[[#This Row],[配点（開発品質）]]*テーブル334[[#This Row],[重み]]</f>
        <v>0</v>
      </c>
      <c r="BC8" s="53">
        <f>テーブル334[[#This Row],[配点（IT資産）]]*テーブル334[[#This Row],[重み]]</f>
        <v>0</v>
      </c>
      <c r="BD8" s="53">
        <f>SUM(テーブル334[[#This Row],[配点（データ活用性）×重み]:[配点（IT資産）×重み]])</f>
        <v>0</v>
      </c>
      <c r="BE8" s="53" t="e">
        <f>テーブル334[[#This Row],[点数（データ活用性）×重み]]*(テーブル334[[#Totals],[配点（データ活用性）]]/テーブル334[[#Totals],[配点（データ活用性）×重み]])</f>
        <v>#DIV/0!</v>
      </c>
      <c r="BF8" s="53" t="e">
        <f>テーブル334[[#This Row],[点数（アジリティ）×重み]]*(テーブル334[[#Totals],[配点（アジリティ）]]/テーブル334[[#Totals],[配点（アジリティ）×重み]])</f>
        <v>#DIV/0!</v>
      </c>
      <c r="BG8" s="53" t="e">
        <f>テーブル334[[#This Row],[点数（スピード）×重み]]*(テーブル334[[#Totals],[配点（スピード）]]/テーブル334[[#Totals],[配点（スピード）×重み]])</f>
        <v>#DIV/0!</v>
      </c>
      <c r="BH8" s="53" t="e">
        <f>テーブル334[[#This Row],[点数（利用品質）×重み]]*(テーブル334[[#Totals],[配点（利用品質）]]/テーブル334[[#Totals],[配点（利用品質）×重み]])</f>
        <v>#DIV/0!</v>
      </c>
      <c r="BI8" s="53" t="e">
        <f>テーブル334[[#This Row],[点数（開発品質）×重み]]*(テーブル334[[#Totals],[配点（開発品質）]]/テーブル334[[#Totals],[配点（開発品質）×重み]])</f>
        <v>#DIV/0!</v>
      </c>
      <c r="BJ8" s="53" t="e">
        <f>テーブル334[[#This Row],[点数（IT資産）×重み]]*(テーブル334[[#Totals],[配点（IT資産）]]/テーブル334[[#Totals],[配点（IT資産）×重み]])</f>
        <v>#DIV/0!</v>
      </c>
      <c r="BK8" s="53" t="e">
        <f>テーブル334[[#This Row],[点数×重み]]*(テーブル334[[#Totals],[配点]]/テーブル334[[#Totals],[配点×重み]])</f>
        <v>#DIV/0!</v>
      </c>
      <c r="BL8" s="53" t="e">
        <f>テーブル334[[#This Row],[点数×重み×配点の合計／（配点×重みの合計）]]/テーブル334[[#Totals],[配点]]*100</f>
        <v>#DIV/0!</v>
      </c>
      <c r="BM8" s="69" t="e">
        <f>テーブル334[[#This Row],[配点×重み]]/テーブル334[[#Totals],[配点×重み]]</f>
        <v>#DIV/0!</v>
      </c>
    </row>
    <row r="9" spans="1:65" s="3" customFormat="1" ht="31.5" customHeight="1">
      <c r="A9" s="121"/>
      <c r="B9" s="55"/>
      <c r="J9" s="56"/>
      <c r="K9" s="56"/>
      <c r="S9" s="57"/>
      <c r="T9" s="58"/>
      <c r="U9" s="58"/>
      <c r="V9" s="59"/>
      <c r="W9" s="53"/>
      <c r="X9" s="53"/>
      <c r="Y9" s="53"/>
      <c r="AA9" s="52">
        <f>3*COUNTIF(テーブル334[[#This Row],[ダウンタイム許容度]:[社会影響度]],"H")+2*COUNTIF(テーブル334[[#This Row],[ダウンタイム許容度]:[社会影響度]],"M")+1*COUNTIF(テーブル334[[#This Row],[ダウンタイム許容度]:[社会影響度]],"L")</f>
        <v>0</v>
      </c>
      <c r="AB9" s="52"/>
      <c r="AC9" s="53"/>
      <c r="AD9" s="53"/>
      <c r="AE9" s="53"/>
      <c r="AF9" s="53"/>
      <c r="AG9" s="53"/>
      <c r="AH9" s="53"/>
      <c r="AI9" s="53">
        <f>SUM(テーブル334[[#This Row],[点数（データ活用性）]:[点数（IT資産）]])</f>
        <v>0</v>
      </c>
      <c r="AJ9" s="54">
        <f>テーブル334[[#This Row],[点数（データ活用性）]]*テーブル334[[#This Row],[重み]]</f>
        <v>0</v>
      </c>
      <c r="AK9" s="54">
        <f>テーブル334[[#This Row],[点数（アジリティ）]]*テーブル334[[#This Row],[重み]]</f>
        <v>0</v>
      </c>
      <c r="AL9" s="54">
        <f>テーブル334[[#This Row],[点数（スピード）]]*テーブル334[[#This Row],[重み]]</f>
        <v>0</v>
      </c>
      <c r="AM9" s="54">
        <f>テーブル334[[#This Row],[点数（利用品質）]]*テーブル334[[#This Row],[重み]]</f>
        <v>0</v>
      </c>
      <c r="AN9" s="54">
        <f>テーブル334[[#This Row],[点数（開発品質）]]*テーブル334[[#This Row],[重み]]</f>
        <v>0</v>
      </c>
      <c r="AO9" s="54">
        <f>テーブル334[[#This Row],[点数（IT資産）]]*テーブル334[[#This Row],[重み]]</f>
        <v>0</v>
      </c>
      <c r="AP9" s="53">
        <f>SUM(テーブル334[[#This Row],[点数（データ活用性）×重み]:[点数（IT資産）×重み]])</f>
        <v>0</v>
      </c>
      <c r="AQ9" s="53"/>
      <c r="AR9" s="53"/>
      <c r="AS9" s="53"/>
      <c r="AT9" s="53"/>
      <c r="AU9" s="53"/>
      <c r="AV9" s="53"/>
      <c r="AW9" s="53">
        <f>SUM(テーブル334[[#This Row],[配点（データ活用性）]:[配点（IT資産）]])</f>
        <v>0</v>
      </c>
      <c r="AX9" s="53">
        <f>テーブル334[[#This Row],[配点（データ活用性）]]*テーブル334[[#This Row],[重み]]</f>
        <v>0</v>
      </c>
      <c r="AY9" s="53">
        <f>テーブル334[[#This Row],[配点（アジリティ）]]*テーブル334[[#This Row],[重み]]</f>
        <v>0</v>
      </c>
      <c r="AZ9" s="53">
        <f>テーブル334[[#This Row],[配点（スピード）]]*テーブル334[[#This Row],[重み]]</f>
        <v>0</v>
      </c>
      <c r="BA9" s="53">
        <f>テーブル334[[#This Row],[配点（利用品質）]]*テーブル334[[#This Row],[重み]]</f>
        <v>0</v>
      </c>
      <c r="BB9" s="53">
        <f>テーブル334[[#This Row],[配点（開発品質）]]*テーブル334[[#This Row],[重み]]</f>
        <v>0</v>
      </c>
      <c r="BC9" s="53">
        <f>テーブル334[[#This Row],[配点（IT資産）]]*テーブル334[[#This Row],[重み]]</f>
        <v>0</v>
      </c>
      <c r="BD9" s="53">
        <f>SUM(テーブル334[[#This Row],[配点（データ活用性）×重み]:[配点（IT資産）×重み]])</f>
        <v>0</v>
      </c>
      <c r="BE9" s="53" t="e">
        <f>テーブル334[[#This Row],[点数（データ活用性）×重み]]*(テーブル334[[#Totals],[配点（データ活用性）]]/テーブル334[[#Totals],[配点（データ活用性）×重み]])</f>
        <v>#DIV/0!</v>
      </c>
      <c r="BF9" s="53" t="e">
        <f>テーブル334[[#This Row],[点数（アジリティ）×重み]]*(テーブル334[[#Totals],[配点（アジリティ）]]/テーブル334[[#Totals],[配点（アジリティ）×重み]])</f>
        <v>#DIV/0!</v>
      </c>
      <c r="BG9" s="53" t="e">
        <f>テーブル334[[#This Row],[点数（スピード）×重み]]*(テーブル334[[#Totals],[配点（スピード）]]/テーブル334[[#Totals],[配点（スピード）×重み]])</f>
        <v>#DIV/0!</v>
      </c>
      <c r="BH9" s="53" t="e">
        <f>テーブル334[[#This Row],[点数（利用品質）×重み]]*(テーブル334[[#Totals],[配点（利用品質）]]/テーブル334[[#Totals],[配点（利用品質）×重み]])</f>
        <v>#DIV/0!</v>
      </c>
      <c r="BI9" s="53" t="e">
        <f>テーブル334[[#This Row],[点数（開発品質）×重み]]*(テーブル334[[#Totals],[配点（開発品質）]]/テーブル334[[#Totals],[配点（開発品質）×重み]])</f>
        <v>#DIV/0!</v>
      </c>
      <c r="BJ9" s="53" t="e">
        <f>テーブル334[[#This Row],[点数（IT資産）×重み]]*(テーブル334[[#Totals],[配点（IT資産）]]/テーブル334[[#Totals],[配点（IT資産）×重み]])</f>
        <v>#DIV/0!</v>
      </c>
      <c r="BK9" s="53" t="e">
        <f>テーブル334[[#This Row],[点数×重み]]*(テーブル334[[#Totals],[配点]]/テーブル334[[#Totals],[配点×重み]])</f>
        <v>#DIV/0!</v>
      </c>
      <c r="BL9" s="53" t="e">
        <f>テーブル334[[#This Row],[点数×重み×配点の合計／（配点×重みの合計）]]/テーブル334[[#Totals],[配点]]*100</f>
        <v>#DIV/0!</v>
      </c>
      <c r="BM9" s="69" t="e">
        <f>テーブル334[[#This Row],[配点×重み]]/テーブル334[[#Totals],[配点×重み]]</f>
        <v>#DIV/0!</v>
      </c>
    </row>
    <row r="10" spans="1:65" s="3" customFormat="1" ht="31.5" customHeight="1">
      <c r="A10" s="121"/>
      <c r="B10" s="55"/>
      <c r="J10" s="56"/>
      <c r="K10" s="56"/>
      <c r="S10" s="57"/>
      <c r="T10" s="58"/>
      <c r="U10" s="58"/>
      <c r="V10" s="59"/>
      <c r="W10" s="53"/>
      <c r="X10" s="53"/>
      <c r="Y10" s="53"/>
      <c r="AA10" s="52">
        <f>3*COUNTIF(テーブル334[[#This Row],[ダウンタイム許容度]:[社会影響度]],"H")+2*COUNTIF(テーブル334[[#This Row],[ダウンタイム許容度]:[社会影響度]],"M")+1*COUNTIF(テーブル334[[#This Row],[ダウンタイム許容度]:[社会影響度]],"L")</f>
        <v>0</v>
      </c>
      <c r="AB10" s="52"/>
      <c r="AC10" s="53"/>
      <c r="AD10" s="53"/>
      <c r="AE10" s="53"/>
      <c r="AF10" s="53"/>
      <c r="AG10" s="53"/>
      <c r="AH10" s="53"/>
      <c r="AI10" s="53">
        <f>SUM(テーブル334[[#This Row],[点数（データ活用性）]:[点数（IT資産）]])</f>
        <v>0</v>
      </c>
      <c r="AJ10" s="54">
        <f>テーブル334[[#This Row],[点数（データ活用性）]]*テーブル334[[#This Row],[重み]]</f>
        <v>0</v>
      </c>
      <c r="AK10" s="54">
        <f>テーブル334[[#This Row],[点数（アジリティ）]]*テーブル334[[#This Row],[重み]]</f>
        <v>0</v>
      </c>
      <c r="AL10" s="54">
        <f>テーブル334[[#This Row],[点数（スピード）]]*テーブル334[[#This Row],[重み]]</f>
        <v>0</v>
      </c>
      <c r="AM10" s="54">
        <f>テーブル334[[#This Row],[点数（利用品質）]]*テーブル334[[#This Row],[重み]]</f>
        <v>0</v>
      </c>
      <c r="AN10" s="54">
        <f>テーブル334[[#This Row],[点数（開発品質）]]*テーブル334[[#This Row],[重み]]</f>
        <v>0</v>
      </c>
      <c r="AO10" s="54">
        <f>テーブル334[[#This Row],[点数（IT資産）]]*テーブル334[[#This Row],[重み]]</f>
        <v>0</v>
      </c>
      <c r="AP10" s="53">
        <f>SUM(テーブル334[[#This Row],[点数（データ活用性）×重み]:[点数（IT資産）×重み]])</f>
        <v>0</v>
      </c>
      <c r="AQ10" s="53"/>
      <c r="AR10" s="53"/>
      <c r="AS10" s="53"/>
      <c r="AT10" s="53"/>
      <c r="AU10" s="53"/>
      <c r="AV10" s="53"/>
      <c r="AW10" s="53">
        <f>SUM(テーブル334[[#This Row],[配点（データ活用性）]:[配点（IT資産）]])</f>
        <v>0</v>
      </c>
      <c r="AX10" s="53">
        <f>テーブル334[[#This Row],[配点（データ活用性）]]*テーブル334[[#This Row],[重み]]</f>
        <v>0</v>
      </c>
      <c r="AY10" s="53">
        <f>テーブル334[[#This Row],[配点（アジリティ）]]*テーブル334[[#This Row],[重み]]</f>
        <v>0</v>
      </c>
      <c r="AZ10" s="53">
        <f>テーブル334[[#This Row],[配点（スピード）]]*テーブル334[[#This Row],[重み]]</f>
        <v>0</v>
      </c>
      <c r="BA10" s="53">
        <f>テーブル334[[#This Row],[配点（利用品質）]]*テーブル334[[#This Row],[重み]]</f>
        <v>0</v>
      </c>
      <c r="BB10" s="53">
        <f>テーブル334[[#This Row],[配点（開発品質）]]*テーブル334[[#This Row],[重み]]</f>
        <v>0</v>
      </c>
      <c r="BC10" s="53">
        <f>テーブル334[[#This Row],[配点（IT資産）]]*テーブル334[[#This Row],[重み]]</f>
        <v>0</v>
      </c>
      <c r="BD10" s="53">
        <f>SUM(テーブル334[[#This Row],[配点（データ活用性）×重み]:[配点（IT資産）×重み]])</f>
        <v>0</v>
      </c>
      <c r="BE10" s="53" t="e">
        <f>テーブル334[[#This Row],[点数（データ活用性）×重み]]*(テーブル334[[#Totals],[配点（データ活用性）]]/テーブル334[[#Totals],[配点（データ活用性）×重み]])</f>
        <v>#DIV/0!</v>
      </c>
      <c r="BF10" s="53" t="e">
        <f>テーブル334[[#This Row],[点数（アジリティ）×重み]]*(テーブル334[[#Totals],[配点（アジリティ）]]/テーブル334[[#Totals],[配点（アジリティ）×重み]])</f>
        <v>#DIV/0!</v>
      </c>
      <c r="BG10" s="53" t="e">
        <f>テーブル334[[#This Row],[点数（スピード）×重み]]*(テーブル334[[#Totals],[配点（スピード）]]/テーブル334[[#Totals],[配点（スピード）×重み]])</f>
        <v>#DIV/0!</v>
      </c>
      <c r="BH10" s="53" t="e">
        <f>テーブル334[[#This Row],[点数（利用品質）×重み]]*(テーブル334[[#Totals],[配点（利用品質）]]/テーブル334[[#Totals],[配点（利用品質）×重み]])</f>
        <v>#DIV/0!</v>
      </c>
      <c r="BI10" s="53" t="e">
        <f>テーブル334[[#This Row],[点数（開発品質）×重み]]*(テーブル334[[#Totals],[配点（開発品質）]]/テーブル334[[#Totals],[配点（開発品質）×重み]])</f>
        <v>#DIV/0!</v>
      </c>
      <c r="BJ10" s="53" t="e">
        <f>テーブル334[[#This Row],[点数（IT資産）×重み]]*(テーブル334[[#Totals],[配点（IT資産）]]/テーブル334[[#Totals],[配点（IT資産）×重み]])</f>
        <v>#DIV/0!</v>
      </c>
      <c r="BK10" s="53" t="e">
        <f>テーブル334[[#This Row],[点数×重み]]*(テーブル334[[#Totals],[配点]]/テーブル334[[#Totals],[配点×重み]])</f>
        <v>#DIV/0!</v>
      </c>
      <c r="BL10" s="53" t="e">
        <f>テーブル334[[#This Row],[点数×重み×配点の合計／（配点×重みの合計）]]/テーブル334[[#Totals],[配点]]*100</f>
        <v>#DIV/0!</v>
      </c>
      <c r="BM10" s="69" t="e">
        <f>テーブル334[[#This Row],[配点×重み]]/テーブル334[[#Totals],[配点×重み]]</f>
        <v>#DIV/0!</v>
      </c>
    </row>
    <row r="11" spans="1:65" s="3" customFormat="1" ht="31.5" customHeight="1">
      <c r="A11" s="121"/>
      <c r="B11" s="55"/>
      <c r="J11" s="56"/>
      <c r="K11" s="56"/>
      <c r="S11" s="57"/>
      <c r="T11" s="58"/>
      <c r="U11" s="58"/>
      <c r="V11" s="59"/>
      <c r="W11" s="53"/>
      <c r="X11" s="53"/>
      <c r="Y11" s="53"/>
      <c r="AA11" s="52">
        <f>3*COUNTIF(テーブル334[[#This Row],[ダウンタイム許容度]:[社会影響度]],"H")+2*COUNTIF(テーブル334[[#This Row],[ダウンタイム許容度]:[社会影響度]],"M")+1*COUNTIF(テーブル334[[#This Row],[ダウンタイム許容度]:[社会影響度]],"L")</f>
        <v>0</v>
      </c>
      <c r="AB11" s="52"/>
      <c r="AC11" s="53"/>
      <c r="AD11" s="53"/>
      <c r="AE11" s="53"/>
      <c r="AF11" s="53"/>
      <c r="AG11" s="53"/>
      <c r="AH11" s="53"/>
      <c r="AI11" s="53">
        <f>SUM(テーブル334[[#This Row],[点数（データ活用性）]:[点数（IT資産）]])</f>
        <v>0</v>
      </c>
      <c r="AJ11" s="54">
        <f>テーブル334[[#This Row],[点数（データ活用性）]]*テーブル334[[#This Row],[重み]]</f>
        <v>0</v>
      </c>
      <c r="AK11" s="54">
        <f>テーブル334[[#This Row],[点数（アジリティ）]]*テーブル334[[#This Row],[重み]]</f>
        <v>0</v>
      </c>
      <c r="AL11" s="54">
        <f>テーブル334[[#This Row],[点数（スピード）]]*テーブル334[[#This Row],[重み]]</f>
        <v>0</v>
      </c>
      <c r="AM11" s="54">
        <f>テーブル334[[#This Row],[点数（利用品質）]]*テーブル334[[#This Row],[重み]]</f>
        <v>0</v>
      </c>
      <c r="AN11" s="54">
        <f>テーブル334[[#This Row],[点数（開発品質）]]*テーブル334[[#This Row],[重み]]</f>
        <v>0</v>
      </c>
      <c r="AO11" s="54">
        <f>テーブル334[[#This Row],[点数（IT資産）]]*テーブル334[[#This Row],[重み]]</f>
        <v>0</v>
      </c>
      <c r="AP11" s="53">
        <f>SUM(テーブル334[[#This Row],[点数（データ活用性）×重み]:[点数（IT資産）×重み]])</f>
        <v>0</v>
      </c>
      <c r="AQ11" s="53"/>
      <c r="AR11" s="53"/>
      <c r="AS11" s="53"/>
      <c r="AT11" s="53"/>
      <c r="AU11" s="53"/>
      <c r="AV11" s="53"/>
      <c r="AW11" s="53">
        <f>SUM(テーブル334[[#This Row],[配点（データ活用性）]:[配点（IT資産）]])</f>
        <v>0</v>
      </c>
      <c r="AX11" s="53">
        <f>テーブル334[[#This Row],[配点（データ活用性）]]*テーブル334[[#This Row],[重み]]</f>
        <v>0</v>
      </c>
      <c r="AY11" s="53">
        <f>テーブル334[[#This Row],[配点（アジリティ）]]*テーブル334[[#This Row],[重み]]</f>
        <v>0</v>
      </c>
      <c r="AZ11" s="53">
        <f>テーブル334[[#This Row],[配点（スピード）]]*テーブル334[[#This Row],[重み]]</f>
        <v>0</v>
      </c>
      <c r="BA11" s="53">
        <f>テーブル334[[#This Row],[配点（利用品質）]]*テーブル334[[#This Row],[重み]]</f>
        <v>0</v>
      </c>
      <c r="BB11" s="53">
        <f>テーブル334[[#This Row],[配点（開発品質）]]*テーブル334[[#This Row],[重み]]</f>
        <v>0</v>
      </c>
      <c r="BC11" s="53">
        <f>テーブル334[[#This Row],[配点（IT資産）]]*テーブル334[[#This Row],[重み]]</f>
        <v>0</v>
      </c>
      <c r="BD11" s="53">
        <f>SUM(テーブル334[[#This Row],[配点（データ活用性）×重み]:[配点（IT資産）×重み]])</f>
        <v>0</v>
      </c>
      <c r="BE11" s="53" t="e">
        <f>テーブル334[[#This Row],[点数（データ活用性）×重み]]*(テーブル334[[#Totals],[配点（データ活用性）]]/テーブル334[[#Totals],[配点（データ活用性）×重み]])</f>
        <v>#DIV/0!</v>
      </c>
      <c r="BF11" s="53" t="e">
        <f>テーブル334[[#This Row],[点数（アジリティ）×重み]]*(テーブル334[[#Totals],[配点（アジリティ）]]/テーブル334[[#Totals],[配点（アジリティ）×重み]])</f>
        <v>#DIV/0!</v>
      </c>
      <c r="BG11" s="53" t="e">
        <f>テーブル334[[#This Row],[点数（スピード）×重み]]*(テーブル334[[#Totals],[配点（スピード）]]/テーブル334[[#Totals],[配点（スピード）×重み]])</f>
        <v>#DIV/0!</v>
      </c>
      <c r="BH11" s="53" t="e">
        <f>テーブル334[[#This Row],[点数（利用品質）×重み]]*(テーブル334[[#Totals],[配点（利用品質）]]/テーブル334[[#Totals],[配点（利用品質）×重み]])</f>
        <v>#DIV/0!</v>
      </c>
      <c r="BI11" s="53" t="e">
        <f>テーブル334[[#This Row],[点数（開発品質）×重み]]*(テーブル334[[#Totals],[配点（開発品質）]]/テーブル334[[#Totals],[配点（開発品質）×重み]])</f>
        <v>#DIV/0!</v>
      </c>
      <c r="BJ11" s="53" t="e">
        <f>テーブル334[[#This Row],[点数（IT資産）×重み]]*(テーブル334[[#Totals],[配点（IT資産）]]/テーブル334[[#Totals],[配点（IT資産）×重み]])</f>
        <v>#DIV/0!</v>
      </c>
      <c r="BK11" s="53" t="e">
        <f>テーブル334[[#This Row],[点数×重み]]*(テーブル334[[#Totals],[配点]]/テーブル334[[#Totals],[配点×重み]])</f>
        <v>#DIV/0!</v>
      </c>
      <c r="BL11" s="53" t="e">
        <f>テーブル334[[#This Row],[点数×重み×配点の合計／（配点×重みの合計）]]/テーブル334[[#Totals],[配点]]*100</f>
        <v>#DIV/0!</v>
      </c>
      <c r="BM11" s="69" t="e">
        <f>テーブル334[[#This Row],[配点×重み]]/テーブル334[[#Totals],[配点×重み]]</f>
        <v>#DIV/0!</v>
      </c>
    </row>
    <row r="12" spans="1:65" s="3" customFormat="1" ht="31.5" customHeight="1">
      <c r="A12" s="121"/>
      <c r="B12" s="55"/>
      <c r="J12" s="56"/>
      <c r="K12" s="56"/>
      <c r="S12" s="57"/>
      <c r="T12" s="58"/>
      <c r="U12" s="58"/>
      <c r="V12" s="59"/>
      <c r="W12" s="53"/>
      <c r="X12" s="53"/>
      <c r="Y12" s="53"/>
      <c r="AA12" s="52">
        <f>3*COUNTIF(テーブル334[[#This Row],[ダウンタイム許容度]:[社会影響度]],"H")+2*COUNTIF(テーブル334[[#This Row],[ダウンタイム許容度]:[社会影響度]],"M")+1*COUNTIF(テーブル334[[#This Row],[ダウンタイム許容度]:[社会影響度]],"L")</f>
        <v>0</v>
      </c>
      <c r="AB12" s="52"/>
      <c r="AC12" s="53"/>
      <c r="AD12" s="53"/>
      <c r="AE12" s="53"/>
      <c r="AF12" s="53"/>
      <c r="AG12" s="53"/>
      <c r="AH12" s="53"/>
      <c r="AI12" s="53">
        <f>SUM(テーブル334[[#This Row],[点数（データ活用性）]:[点数（IT資産）]])</f>
        <v>0</v>
      </c>
      <c r="AJ12" s="54">
        <f>テーブル334[[#This Row],[点数（データ活用性）]]*テーブル334[[#This Row],[重み]]</f>
        <v>0</v>
      </c>
      <c r="AK12" s="54">
        <f>テーブル334[[#This Row],[点数（アジリティ）]]*テーブル334[[#This Row],[重み]]</f>
        <v>0</v>
      </c>
      <c r="AL12" s="54">
        <f>テーブル334[[#This Row],[点数（スピード）]]*テーブル334[[#This Row],[重み]]</f>
        <v>0</v>
      </c>
      <c r="AM12" s="54">
        <f>テーブル334[[#This Row],[点数（利用品質）]]*テーブル334[[#This Row],[重み]]</f>
        <v>0</v>
      </c>
      <c r="AN12" s="54">
        <f>テーブル334[[#This Row],[点数（開発品質）]]*テーブル334[[#This Row],[重み]]</f>
        <v>0</v>
      </c>
      <c r="AO12" s="54">
        <f>テーブル334[[#This Row],[点数（IT資産）]]*テーブル334[[#This Row],[重み]]</f>
        <v>0</v>
      </c>
      <c r="AP12" s="53">
        <f>SUM(テーブル334[[#This Row],[点数（データ活用性）×重み]:[点数（IT資産）×重み]])</f>
        <v>0</v>
      </c>
      <c r="AQ12" s="53"/>
      <c r="AR12" s="53"/>
      <c r="AS12" s="53"/>
      <c r="AT12" s="53"/>
      <c r="AU12" s="53"/>
      <c r="AV12" s="53"/>
      <c r="AW12" s="53">
        <f>SUM(テーブル334[[#This Row],[配点（データ活用性）]:[配点（IT資産）]])</f>
        <v>0</v>
      </c>
      <c r="AX12" s="53">
        <f>テーブル334[[#This Row],[配点（データ活用性）]]*テーブル334[[#This Row],[重み]]</f>
        <v>0</v>
      </c>
      <c r="AY12" s="53">
        <f>テーブル334[[#This Row],[配点（アジリティ）]]*テーブル334[[#This Row],[重み]]</f>
        <v>0</v>
      </c>
      <c r="AZ12" s="53">
        <f>テーブル334[[#This Row],[配点（スピード）]]*テーブル334[[#This Row],[重み]]</f>
        <v>0</v>
      </c>
      <c r="BA12" s="53">
        <f>テーブル334[[#This Row],[配点（利用品質）]]*テーブル334[[#This Row],[重み]]</f>
        <v>0</v>
      </c>
      <c r="BB12" s="53">
        <f>テーブル334[[#This Row],[配点（開発品質）]]*テーブル334[[#This Row],[重み]]</f>
        <v>0</v>
      </c>
      <c r="BC12" s="53">
        <f>テーブル334[[#This Row],[配点（IT資産）]]*テーブル334[[#This Row],[重み]]</f>
        <v>0</v>
      </c>
      <c r="BD12" s="53">
        <f>SUM(テーブル334[[#This Row],[配点（データ活用性）×重み]:[配点（IT資産）×重み]])</f>
        <v>0</v>
      </c>
      <c r="BE12" s="53" t="e">
        <f>テーブル334[[#This Row],[点数（データ活用性）×重み]]*(テーブル334[[#Totals],[配点（データ活用性）]]/テーブル334[[#Totals],[配点（データ活用性）×重み]])</f>
        <v>#DIV/0!</v>
      </c>
      <c r="BF12" s="53" t="e">
        <f>テーブル334[[#This Row],[点数（アジリティ）×重み]]*(テーブル334[[#Totals],[配点（アジリティ）]]/テーブル334[[#Totals],[配点（アジリティ）×重み]])</f>
        <v>#DIV/0!</v>
      </c>
      <c r="BG12" s="53" t="e">
        <f>テーブル334[[#This Row],[点数（スピード）×重み]]*(テーブル334[[#Totals],[配点（スピード）]]/テーブル334[[#Totals],[配点（スピード）×重み]])</f>
        <v>#DIV/0!</v>
      </c>
      <c r="BH12" s="53" t="e">
        <f>テーブル334[[#This Row],[点数（利用品質）×重み]]*(テーブル334[[#Totals],[配点（利用品質）]]/テーブル334[[#Totals],[配点（利用品質）×重み]])</f>
        <v>#DIV/0!</v>
      </c>
      <c r="BI12" s="53" t="e">
        <f>テーブル334[[#This Row],[点数（開発品質）×重み]]*(テーブル334[[#Totals],[配点（開発品質）]]/テーブル334[[#Totals],[配点（開発品質）×重み]])</f>
        <v>#DIV/0!</v>
      </c>
      <c r="BJ12" s="53" t="e">
        <f>テーブル334[[#This Row],[点数（IT資産）×重み]]*(テーブル334[[#Totals],[配点（IT資産）]]/テーブル334[[#Totals],[配点（IT資産）×重み]])</f>
        <v>#DIV/0!</v>
      </c>
      <c r="BK12" s="53" t="e">
        <f>テーブル334[[#This Row],[点数×重み]]*(テーブル334[[#Totals],[配点]]/テーブル334[[#Totals],[配点×重み]])</f>
        <v>#DIV/0!</v>
      </c>
      <c r="BL12" s="53" t="e">
        <f>テーブル334[[#This Row],[点数×重み×配点の合計／（配点×重みの合計）]]/テーブル334[[#Totals],[配点]]*100</f>
        <v>#DIV/0!</v>
      </c>
      <c r="BM12" s="69" t="e">
        <f>テーブル334[[#This Row],[配点×重み]]/テーブル334[[#Totals],[配点×重み]]</f>
        <v>#DIV/0!</v>
      </c>
    </row>
    <row r="13" spans="1:65" ht="31.5" customHeight="1">
      <c r="A13" s="77"/>
      <c r="B13" s="20" t="s">
        <v>88</v>
      </c>
      <c r="C13" s="2" t="s">
        <v>89</v>
      </c>
      <c r="D13" s="2" t="s">
        <v>89</v>
      </c>
      <c r="E13" s="2" t="s">
        <v>89</v>
      </c>
      <c r="F13" s="2" t="s">
        <v>89</v>
      </c>
      <c r="G13" s="2" t="s">
        <v>89</v>
      </c>
      <c r="H13" s="2" t="s">
        <v>89</v>
      </c>
      <c r="I13" s="2" t="s">
        <v>89</v>
      </c>
      <c r="J13" s="21" t="s">
        <v>89</v>
      </c>
      <c r="K13" s="21"/>
      <c r="AA13" s="19"/>
      <c r="AB13" s="19"/>
      <c r="AC13" s="19"/>
      <c r="AD13" s="19"/>
      <c r="AE13" s="19"/>
      <c r="AF13" s="19"/>
      <c r="AG13" s="19"/>
      <c r="AH13" s="19"/>
      <c r="AI13" s="22"/>
      <c r="AJ13" s="23"/>
      <c r="AK13" s="23"/>
      <c r="AL13" s="23"/>
      <c r="AM13" s="23"/>
      <c r="AN13" s="23"/>
      <c r="AO13" s="23"/>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70"/>
    </row>
    <row r="14" spans="1:65" s="26" customFormat="1" ht="16.5">
      <c r="A14" s="24"/>
      <c r="B14" s="24" t="s">
        <v>13</v>
      </c>
      <c r="C14" s="24"/>
      <c r="D14" s="24"/>
      <c r="E14" s="24"/>
      <c r="F14" s="24"/>
      <c r="G14" s="24"/>
      <c r="H14" s="24"/>
      <c r="I14" s="24"/>
      <c r="J14" s="24"/>
      <c r="K14" s="24"/>
      <c r="L14" s="24"/>
      <c r="M14" s="24"/>
      <c r="N14" s="24"/>
      <c r="O14" s="24"/>
      <c r="P14" s="24"/>
      <c r="Q14" s="24"/>
      <c r="R14" s="24"/>
      <c r="S14" s="24"/>
      <c r="T14" s="24"/>
      <c r="U14" s="24"/>
      <c r="V14" s="24"/>
      <c r="W14" s="24"/>
      <c r="X14" s="24"/>
      <c r="Y14" s="24"/>
      <c r="Z14" s="24"/>
      <c r="AA14" s="25"/>
      <c r="AB14" s="25"/>
      <c r="AC14" s="24"/>
      <c r="AD14" s="24"/>
      <c r="AE14" s="24"/>
      <c r="AF14" s="24"/>
      <c r="AG14" s="24"/>
      <c r="AH14" s="24"/>
      <c r="AI14" s="24"/>
      <c r="AJ14" s="74"/>
      <c r="AK14" s="74"/>
      <c r="AL14" s="74"/>
      <c r="AM14" s="25"/>
      <c r="AN14" s="25"/>
      <c r="AO14" s="25"/>
      <c r="AP14" s="74"/>
      <c r="AQ14" s="72">
        <f>SUBTOTAL(109,テーブル334[配点（データ活用性）])</f>
        <v>0</v>
      </c>
      <c r="AR14" s="72">
        <f>SUBTOTAL(109,テーブル334[配点（アジリティ）])</f>
        <v>0</v>
      </c>
      <c r="AS14" s="72">
        <f>SUBTOTAL(109,テーブル334[配点（スピード）])</f>
        <v>0</v>
      </c>
      <c r="AT14" s="72">
        <f>SUBTOTAL(109,テーブル334[配点（利用品質）])</f>
        <v>0</v>
      </c>
      <c r="AU14" s="72">
        <f>SUBTOTAL(109,テーブル334[配点（開発品質）])</f>
        <v>0</v>
      </c>
      <c r="AV14" s="72">
        <f>SUBTOTAL(109,テーブル334[配点（IT資産）])</f>
        <v>0</v>
      </c>
      <c r="AW14" s="73">
        <f>SUBTOTAL(109,テーブル334[配点])</f>
        <v>0</v>
      </c>
      <c r="AX14" s="74">
        <f>SUBTOTAL(109,テーブル334[配点（データ活用性）×重み])</f>
        <v>0</v>
      </c>
      <c r="AY14" s="74">
        <f>SUBTOTAL(109,テーブル334[配点（アジリティ）×重み])</f>
        <v>0</v>
      </c>
      <c r="AZ14" s="74">
        <f>SUBTOTAL(109,テーブル334[配点（スピード）×重み])</f>
        <v>0</v>
      </c>
      <c r="BA14" s="74">
        <f>SUBTOTAL(109,テーブル334[配点（利用品質）×重み])</f>
        <v>0</v>
      </c>
      <c r="BB14" s="74">
        <f>SUBTOTAL(109,テーブル334[配点（開発品質）×重み])</f>
        <v>0</v>
      </c>
      <c r="BC14" s="74">
        <f>SUBTOTAL(109,テーブル334[配点（IT資産）×重み])</f>
        <v>0</v>
      </c>
      <c r="BD14" s="74">
        <f>SUBTOTAL(109,テーブル334[配点×重み])</f>
        <v>0</v>
      </c>
      <c r="BE14" s="75" t="e">
        <f>SUBTOTAL(109,テーブル334[点数（データ活用性）　変換後])</f>
        <v>#DIV/0!</v>
      </c>
      <c r="BF14" s="75" t="e">
        <f>SUBTOTAL(109,テーブル334[点数（アジリティ）　変換後])</f>
        <v>#DIV/0!</v>
      </c>
      <c r="BG14" s="75" t="e">
        <f>SUBTOTAL(109,テーブル334[点数（スピード）　変換後])</f>
        <v>#DIV/0!</v>
      </c>
      <c r="BH14" s="75" t="e">
        <f>SUBTOTAL(109,テーブル334[点数（利用品質）　変換後])</f>
        <v>#DIV/0!</v>
      </c>
      <c r="BI14" s="75" t="e">
        <f>SUBTOTAL(109,テーブル334[点数（開発品質）　変換後])</f>
        <v>#DIV/0!</v>
      </c>
      <c r="BJ14" s="75" t="e">
        <f>SUBTOTAL(109,テーブル334[点数（IT資産）　変換後])</f>
        <v>#DIV/0!</v>
      </c>
      <c r="BK14" s="73" t="e">
        <f>SUBTOTAL(109,テーブル334[点数×重み×配点の合計／（配点×重みの合計）])</f>
        <v>#DIV/0!</v>
      </c>
      <c r="BL14" s="81" t="e">
        <f>SUM(BL5:BL12)</f>
        <v>#DIV/0!</v>
      </c>
      <c r="BM14" s="71" t="e">
        <f>SUM(BM5:BM12)</f>
        <v>#DIV/0!</v>
      </c>
    </row>
    <row r="15" spans="1:65" ht="204.75">
      <c r="N15" s="121" t="s">
        <v>157</v>
      </c>
      <c r="O15" s="121"/>
      <c r="P15" s="121"/>
      <c r="AB15" s="77" t="s">
        <v>192</v>
      </c>
      <c r="AC15" s="121" t="s">
        <v>164</v>
      </c>
      <c r="AD15" s="121"/>
      <c r="AE15" s="121"/>
      <c r="AF15" s="121"/>
      <c r="AG15" s="121"/>
      <c r="AH15" s="121"/>
      <c r="AQ15" s="121" t="s">
        <v>165</v>
      </c>
      <c r="AR15" s="121"/>
      <c r="AS15" s="121"/>
      <c r="AT15" s="121"/>
      <c r="AU15" s="121"/>
      <c r="AV15" s="121"/>
    </row>
    <row r="16" spans="1:65">
      <c r="A16" s="27"/>
    </row>
    <row r="17" spans="1:1">
      <c r="A17" s="27"/>
    </row>
  </sheetData>
  <mergeCells count="11">
    <mergeCell ref="BE3:BK3"/>
    <mergeCell ref="A6:A12"/>
    <mergeCell ref="N15:P15"/>
    <mergeCell ref="C3:J3"/>
    <mergeCell ref="AB3:AI3"/>
    <mergeCell ref="AJ3:AP3"/>
    <mergeCell ref="AQ3:AW3"/>
    <mergeCell ref="AX3:BD3"/>
    <mergeCell ref="AC15:AH15"/>
    <mergeCell ref="AQ15:AV15"/>
    <mergeCell ref="L3:AA3"/>
  </mergeCells>
  <phoneticPr fontId="7"/>
  <dataValidations count="3">
    <dataValidation allowBlank="1" showInputMessage="1" showErrorMessage="1" prompt="別シートの集計結果を転記する（IT資産の要件）" sqref="AI4" xr:uid="{4AEB916F-C4D8-4CC8-9DD4-81CF3AF2FF60}"/>
    <dataValidation allowBlank="1" showInputMessage="1" showErrorMessage="1" prompt="ITシステム導入時期または直近の全面更改した時期はいつか。（開発時の技術トレンド、開発手法のトレンド把握のため）。" sqref="J4:K4" xr:uid="{C7723895-8461-40E9-A006-AEC2C55F0E15}"/>
    <dataValidation allowBlank="1" showInputMessage="1" showErrorMessage="1" prompt="開発／ビルド／テストツール・フレームワーク・方法論は何を使用しているか。" sqref="H4" xr:uid="{5757786E-B404-4327-B776-4C08A126714D}"/>
  </dataValidations>
  <pageMargins left="0.23622047244094491" right="0.23622047244094491" top="0.74803149606299213" bottom="0.74803149606299213" header="0.31496062992125984" footer="0.31496062992125984"/>
  <pageSetup paperSize="9" scale="50" orientation="landscape" r:id="rId1"/>
  <headerFooter>
    <oddHeader>&amp;L&amp;A&amp;R&amp;F</oddHeader>
    <oddFooter>&amp;P / &amp;N ページ</oddFooter>
  </headerFooter>
  <colBreaks count="1" manualBreakCount="1">
    <brk id="11" max="1048575" man="1"/>
  </colBreaks>
  <tableParts count="1">
    <tablePart r:id="rId2"/>
  </tableParts>
  <extLst>
    <ext xmlns:x14="http://schemas.microsoft.com/office/spreadsheetml/2009/9/main" uri="{CCE6A557-97BC-4b89-ADB6-D9C93CAAB3DF}">
      <x14:dataValidations xmlns:xm="http://schemas.microsoft.com/office/excel/2006/main" count="6">
        <x14:dataValidation type="list" allowBlank="1" showInputMessage="1" showErrorMessage="1" xr:uid="{FD00DFC1-3408-4834-BD12-86E8657054F4}">
          <x14:formula1>
            <xm:f>リスト!$D$2:$D$5</xm:f>
          </x14:formula1>
          <xm:sqref>O5:O13</xm:sqref>
        </x14:dataValidation>
        <x14:dataValidation type="list" allowBlank="1" showInputMessage="1" showErrorMessage="1" xr:uid="{36845D52-A6F5-4D85-9233-24165AD08CF6}">
          <x14:formula1>
            <xm:f>リスト!$E$2:$E$5</xm:f>
          </x14:formula1>
          <xm:sqref>P5:P13</xm:sqref>
        </x14:dataValidation>
        <x14:dataValidation type="list" allowBlank="1" showInputMessage="1" showErrorMessage="1" xr:uid="{EB2815C5-0713-42A9-A307-BDC96BF6FA39}">
          <x14:formula1>
            <xm:f>リスト!$C$2:$C$5</xm:f>
          </x14:formula1>
          <xm:sqref>N5:N13</xm:sqref>
        </x14:dataValidation>
        <x14:dataValidation type="list" allowBlank="1" showInputMessage="1" showErrorMessage="1" xr:uid="{F34E4827-27C7-4B3F-9C0C-896A4A1381B2}">
          <x14:formula1>
            <xm:f>リスト!$A$2:$A$4</xm:f>
          </x14:formula1>
          <xm:sqref>L5:L13</xm:sqref>
        </x14:dataValidation>
        <x14:dataValidation type="list" allowBlank="1" showInputMessage="1" showErrorMessage="1" xr:uid="{B7415C7E-EF10-4550-876C-D4ABE624538C}">
          <x14:formula1>
            <xm:f>リスト!$B$2:$B$5</xm:f>
          </x14:formula1>
          <xm:sqref>M5:M13</xm:sqref>
        </x14:dataValidation>
        <x14:dataValidation type="list" allowBlank="1" showInputMessage="1" showErrorMessage="1" xr:uid="{94ED739B-90D5-4CC4-A7B0-AB87DE05FAA5}">
          <x14:formula1>
            <xm:f>リスト!$G$2:$G$6</xm:f>
          </x14:formula1>
          <xm:sqref>AB5:AB13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35593-167F-43B9-8006-64F3A22EC66C}">
  <sheetPr>
    <pageSetUpPr fitToPage="1"/>
  </sheetPr>
  <dimension ref="A1:Q27"/>
  <sheetViews>
    <sheetView workbookViewId="0"/>
  </sheetViews>
  <sheetFormatPr defaultRowHeight="15.75"/>
  <cols>
    <col min="1" max="1" width="12.875" style="1" customWidth="1"/>
    <col min="2" max="2" width="14.625" style="1" customWidth="1"/>
    <col min="3" max="3" width="14.875" style="1" bestFit="1" customWidth="1"/>
    <col min="4" max="4" width="0" style="1" hidden="1" customWidth="1"/>
    <col min="5" max="5" width="9" style="1"/>
    <col min="6" max="6" width="0" style="1" hidden="1" customWidth="1"/>
    <col min="7" max="7" width="9" style="1"/>
    <col min="8" max="8" width="9.375" style="1" hidden="1" customWidth="1"/>
    <col min="9" max="9" width="9.375" style="1" bestFit="1" customWidth="1"/>
    <col min="10" max="10" width="13.5" style="1" customWidth="1"/>
    <col min="11" max="16384" width="9" style="1"/>
  </cols>
  <sheetData>
    <row r="1" spans="1:17" s="3" customFormat="1" ht="15.75" customHeight="1">
      <c r="A1" s="3" t="s">
        <v>93</v>
      </c>
      <c r="C1" s="33" t="s">
        <v>1</v>
      </c>
      <c r="D1" s="34" t="str">
        <f>E1</f>
        <v>割合（%）</v>
      </c>
      <c r="E1" s="42" t="s">
        <v>91</v>
      </c>
      <c r="F1" s="43" t="str">
        <f>G1</f>
        <v>点数</v>
      </c>
      <c r="G1" s="42" t="s">
        <v>16</v>
      </c>
      <c r="H1" s="43" t="s">
        <v>2</v>
      </c>
      <c r="I1" s="42" t="s">
        <v>2</v>
      </c>
      <c r="J1" s="63"/>
      <c r="K1" s="8" t="s">
        <v>156</v>
      </c>
      <c r="L1" s="1"/>
      <c r="M1" s="1"/>
      <c r="N1" s="1"/>
      <c r="O1" s="1"/>
      <c r="P1" s="1"/>
      <c r="Q1" s="1"/>
    </row>
    <row r="2" spans="1:17" ht="15.75" customHeight="1">
      <c r="A2" s="141" t="s">
        <v>3</v>
      </c>
      <c r="B2" s="142"/>
      <c r="C2" s="35" t="s">
        <v>4</v>
      </c>
      <c r="D2" s="147" t="e">
        <f>F2/H2</f>
        <v>#DIV/0!</v>
      </c>
      <c r="E2" s="36">
        <f>IF(I2=0,0,G2/I2)</f>
        <v>0</v>
      </c>
      <c r="F2" s="150" t="e">
        <f>SUM(G2:G4)</f>
        <v>#DIV/0!</v>
      </c>
      <c r="G2" s="62" t="e">
        <f>$K$3</f>
        <v>#DIV/0!</v>
      </c>
      <c r="H2" s="153">
        <f>SUM(I2:I4)</f>
        <v>0</v>
      </c>
      <c r="I2" s="64">
        <f>$K$2</f>
        <v>0</v>
      </c>
      <c r="J2" s="60"/>
      <c r="K2" s="38">
        <f>'3-1．機能システム一覧 '!AQ14</f>
        <v>0</v>
      </c>
      <c r="L2" s="38">
        <f>'3-1．機能システム一覧 '!AR14</f>
        <v>0</v>
      </c>
      <c r="M2" s="38">
        <f>'3-1．機能システム一覧 '!AS14</f>
        <v>0</v>
      </c>
      <c r="N2" s="38">
        <f>'3-1．機能システム一覧 '!AT14</f>
        <v>0</v>
      </c>
      <c r="O2" s="38">
        <f>'3-1．機能システム一覧 '!AU14</f>
        <v>0</v>
      </c>
      <c r="P2" s="38">
        <f>'3-1．機能システム一覧 '!AV14</f>
        <v>0</v>
      </c>
    </row>
    <row r="3" spans="1:17">
      <c r="A3" s="143"/>
      <c r="B3" s="144"/>
      <c r="C3" s="35" t="s">
        <v>5</v>
      </c>
      <c r="D3" s="148"/>
      <c r="E3" s="36">
        <f t="shared" ref="E3:E7" si="0">IF(I3=0,0,G3/I3)</f>
        <v>0</v>
      </c>
      <c r="F3" s="151"/>
      <c r="G3" s="62" t="e">
        <f>$L$3</f>
        <v>#DIV/0!</v>
      </c>
      <c r="H3" s="154"/>
      <c r="I3" s="64">
        <f>$L$2</f>
        <v>0</v>
      </c>
      <c r="J3" s="60"/>
      <c r="K3" s="61" t="e">
        <f>'3-1．機能システム一覧 '!BE14</f>
        <v>#DIV/0!</v>
      </c>
      <c r="L3" s="61" t="e">
        <f>'3-1．機能システム一覧 '!BF14</f>
        <v>#DIV/0!</v>
      </c>
      <c r="M3" s="61" t="e">
        <f>'3-1．機能システム一覧 '!BG14</f>
        <v>#DIV/0!</v>
      </c>
      <c r="N3" s="61" t="e">
        <f>'3-1．機能システム一覧 '!BH14</f>
        <v>#DIV/0!</v>
      </c>
      <c r="O3" s="61" t="e">
        <f>'3-1．機能システム一覧 '!BI14</f>
        <v>#DIV/0!</v>
      </c>
      <c r="P3" s="61" t="e">
        <f>'3-1．機能システム一覧 '!BJ14</f>
        <v>#DIV/0!</v>
      </c>
    </row>
    <row r="4" spans="1:17">
      <c r="A4" s="145"/>
      <c r="B4" s="146"/>
      <c r="C4" s="35" t="s">
        <v>6</v>
      </c>
      <c r="D4" s="149"/>
      <c r="E4" s="36">
        <f t="shared" si="0"/>
        <v>0</v>
      </c>
      <c r="F4" s="152"/>
      <c r="G4" s="62" t="e">
        <f>$M$3</f>
        <v>#DIV/0!</v>
      </c>
      <c r="H4" s="155"/>
      <c r="I4" s="64">
        <f>$M$2</f>
        <v>0</v>
      </c>
      <c r="J4" s="60"/>
    </row>
    <row r="5" spans="1:17" ht="15.75" customHeight="1">
      <c r="A5" s="156" t="s">
        <v>7</v>
      </c>
      <c r="B5" s="156" t="s">
        <v>187</v>
      </c>
      <c r="C5" s="35" t="s">
        <v>8</v>
      </c>
      <c r="D5" s="147" t="e">
        <f>F5/H5</f>
        <v>#DIV/0!</v>
      </c>
      <c r="E5" s="36">
        <f t="shared" si="0"/>
        <v>0</v>
      </c>
      <c r="F5" s="150" t="e">
        <f>SUM(G5:G6)</f>
        <v>#DIV/0!</v>
      </c>
      <c r="G5" s="62" t="e">
        <f>$N$3</f>
        <v>#DIV/0!</v>
      </c>
      <c r="H5" s="153">
        <f>SUM(I5:I6)</f>
        <v>0</v>
      </c>
      <c r="I5" s="64">
        <f>$N$2</f>
        <v>0</v>
      </c>
      <c r="J5" s="60"/>
    </row>
    <row r="6" spans="1:17">
      <c r="A6" s="157"/>
      <c r="B6" s="158"/>
      <c r="C6" s="35" t="s">
        <v>9</v>
      </c>
      <c r="D6" s="149"/>
      <c r="E6" s="36">
        <f t="shared" si="0"/>
        <v>0</v>
      </c>
      <c r="F6" s="152"/>
      <c r="G6" s="62" t="e">
        <f>$O$3</f>
        <v>#DIV/0!</v>
      </c>
      <c r="H6" s="155"/>
      <c r="I6" s="64">
        <f>$O$2</f>
        <v>0</v>
      </c>
      <c r="J6" s="60"/>
    </row>
    <row r="7" spans="1:17">
      <c r="A7" s="157"/>
      <c r="B7" s="4" t="s">
        <v>10</v>
      </c>
      <c r="C7" s="35" t="s">
        <v>10</v>
      </c>
      <c r="D7" s="36" t="e">
        <f>F7/H7</f>
        <v>#DIV/0!</v>
      </c>
      <c r="E7" s="36">
        <f t="shared" si="0"/>
        <v>0</v>
      </c>
      <c r="F7" s="39" t="e">
        <f>SUM(G7)</f>
        <v>#DIV/0!</v>
      </c>
      <c r="G7" s="62" t="e">
        <f>$P$3</f>
        <v>#DIV/0!</v>
      </c>
      <c r="H7" s="41">
        <f>SUM(I7)</f>
        <v>0</v>
      </c>
      <c r="I7" s="64">
        <f>$P$2</f>
        <v>0</v>
      </c>
      <c r="J7" s="60"/>
    </row>
    <row r="8" spans="1:17" ht="15.75" hidden="1" customHeight="1">
      <c r="A8" s="5" t="s">
        <v>11</v>
      </c>
      <c r="B8" s="6"/>
      <c r="C8" s="7"/>
      <c r="D8" s="30"/>
      <c r="E8" s="31"/>
      <c r="F8" s="40"/>
      <c r="G8" s="65" t="e">
        <f>SUM(G2:G4)</f>
        <v>#DIV/0!</v>
      </c>
      <c r="H8" s="66"/>
      <c r="I8" s="67">
        <f>SUM(I2:I4)</f>
        <v>0</v>
      </c>
    </row>
    <row r="9" spans="1:17" ht="15.75" hidden="1" customHeight="1">
      <c r="A9" s="5" t="s">
        <v>12</v>
      </c>
      <c r="B9" s="6"/>
      <c r="C9" s="7"/>
      <c r="D9" s="30"/>
      <c r="E9" s="31"/>
      <c r="F9" s="40"/>
      <c r="G9" s="65" t="e">
        <f>SUM(G5:G7)</f>
        <v>#DIV/0!</v>
      </c>
      <c r="H9" s="66"/>
      <c r="I9" s="67">
        <f>SUM(I5:I7)</f>
        <v>0</v>
      </c>
    </row>
    <row r="10" spans="1:17">
      <c r="A10" s="5" t="s">
        <v>13</v>
      </c>
      <c r="B10" s="6"/>
      <c r="C10" s="7"/>
      <c r="D10" s="30"/>
      <c r="E10" s="31"/>
      <c r="F10" s="40"/>
      <c r="G10" s="65" t="e">
        <f>SUM(G2:G7)</f>
        <v>#DIV/0!</v>
      </c>
      <c r="H10" s="66"/>
      <c r="I10" s="67">
        <f>SUM(I2:I7)</f>
        <v>0</v>
      </c>
    </row>
    <row r="11" spans="1:17">
      <c r="C11" s="37"/>
      <c r="I11" s="8"/>
    </row>
    <row r="13" spans="1:17">
      <c r="L13" s="138" t="s">
        <v>152</v>
      </c>
      <c r="M13" s="139"/>
      <c r="N13" s="140"/>
    </row>
    <row r="14" spans="1:17">
      <c r="L14" s="129"/>
      <c r="M14" s="130"/>
      <c r="N14" s="131"/>
      <c r="O14" s="128" t="s">
        <v>153</v>
      </c>
      <c r="P14" s="121"/>
    </row>
    <row r="15" spans="1:17">
      <c r="L15" s="132"/>
      <c r="M15" s="133"/>
      <c r="N15" s="134"/>
      <c r="O15" s="128"/>
      <c r="P15" s="121"/>
    </row>
    <row r="16" spans="1:17">
      <c r="L16" s="132"/>
      <c r="M16" s="133"/>
      <c r="N16" s="134"/>
      <c r="O16" s="128"/>
      <c r="P16" s="121"/>
    </row>
    <row r="17" spans="12:16">
      <c r="L17" s="132"/>
      <c r="M17" s="133"/>
      <c r="N17" s="134"/>
      <c r="O17" s="128"/>
      <c r="P17" s="121"/>
    </row>
    <row r="18" spans="12:16">
      <c r="L18" s="132"/>
      <c r="M18" s="133"/>
      <c r="N18" s="134"/>
      <c r="O18" s="128"/>
      <c r="P18" s="121"/>
    </row>
    <row r="19" spans="12:16">
      <c r="L19" s="132"/>
      <c r="M19" s="133"/>
      <c r="N19" s="134"/>
      <c r="O19" s="128"/>
      <c r="P19" s="121"/>
    </row>
    <row r="20" spans="12:16">
      <c r="L20" s="132"/>
      <c r="M20" s="133"/>
      <c r="N20" s="134"/>
      <c r="O20" s="128"/>
      <c r="P20" s="121"/>
    </row>
    <row r="21" spans="12:16">
      <c r="L21" s="132"/>
      <c r="M21" s="133"/>
      <c r="N21" s="134"/>
      <c r="O21" s="128"/>
      <c r="P21" s="121"/>
    </row>
    <row r="22" spans="12:16">
      <c r="L22" s="132"/>
      <c r="M22" s="133"/>
      <c r="N22" s="134"/>
      <c r="O22" s="128"/>
      <c r="P22" s="121"/>
    </row>
    <row r="23" spans="12:16">
      <c r="L23" s="132"/>
      <c r="M23" s="133"/>
      <c r="N23" s="134"/>
      <c r="O23" s="128"/>
      <c r="P23" s="121"/>
    </row>
    <row r="24" spans="12:16">
      <c r="L24" s="132"/>
      <c r="M24" s="133"/>
      <c r="N24" s="134"/>
      <c r="O24" s="128"/>
      <c r="P24" s="121"/>
    </row>
    <row r="25" spans="12:16">
      <c r="L25" s="132"/>
      <c r="M25" s="133"/>
      <c r="N25" s="134"/>
      <c r="O25" s="128"/>
      <c r="P25" s="121"/>
    </row>
    <row r="26" spans="12:16">
      <c r="L26" s="132"/>
      <c r="M26" s="133"/>
      <c r="N26" s="134"/>
      <c r="O26" s="128"/>
      <c r="P26" s="121"/>
    </row>
    <row r="27" spans="12:16">
      <c r="L27" s="135"/>
      <c r="M27" s="136"/>
      <c r="N27" s="137"/>
      <c r="O27" s="128"/>
      <c r="P27" s="121"/>
    </row>
  </sheetData>
  <mergeCells count="12">
    <mergeCell ref="O14:P27"/>
    <mergeCell ref="L14:N27"/>
    <mergeCell ref="L13:N13"/>
    <mergeCell ref="A2:B4"/>
    <mergeCell ref="D2:D4"/>
    <mergeCell ref="F2:F4"/>
    <mergeCell ref="H2:H4"/>
    <mergeCell ref="A5:A7"/>
    <mergeCell ref="B5:B6"/>
    <mergeCell ref="D5:D6"/>
    <mergeCell ref="F5:F6"/>
    <mergeCell ref="H5:H6"/>
  </mergeCells>
  <phoneticPr fontId="7"/>
  <pageMargins left="0.23622047244094491" right="0.23622047244094491" top="0.74803149606299213" bottom="0.74803149606299213" header="0.31496062992125984" footer="0.31496062992125984"/>
  <pageSetup paperSize="9" scale="76" orientation="landscape" r:id="rId1"/>
  <headerFooter>
    <oddHeader>&amp;L&amp;A&amp;R&amp;F</oddHeader>
    <oddFooter>&amp;P / &amp;N ページ</oddFooter>
  </headerFooter>
  <ignoredErrors>
    <ignoredError sqref="G2:G7" 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2692C-AEA4-4146-BB9E-E8DA7319F5DC}">
  <sheetPr>
    <pageSetUpPr fitToPage="1"/>
  </sheetPr>
  <dimension ref="A1:BM17"/>
  <sheetViews>
    <sheetView workbookViewId="0"/>
  </sheetViews>
  <sheetFormatPr defaultRowHeight="15.75" outlineLevelCol="1"/>
  <cols>
    <col min="1" max="1" width="3.5" style="1" customWidth="1"/>
    <col min="2" max="2" width="11.125" style="2" customWidth="1"/>
    <col min="3" max="3" width="18.5" style="2" customWidth="1"/>
    <col min="4" max="4" width="9.5" style="2" hidden="1" customWidth="1" outlineLevel="1"/>
    <col min="5" max="5" width="7.875" style="2" hidden="1" customWidth="1" outlineLevel="1"/>
    <col min="6" max="6" width="15.75" style="2" hidden="1" customWidth="1" outlineLevel="1"/>
    <col min="7" max="7" width="18.875" style="2" hidden="1" customWidth="1" outlineLevel="1"/>
    <col min="8" max="8" width="10.25" style="2" hidden="1" customWidth="1" outlineLevel="1"/>
    <col min="9" max="9" width="21.875" style="2" hidden="1" customWidth="1" outlineLevel="1"/>
    <col min="10" max="10" width="17.875" style="2" hidden="1" customWidth="1" outlineLevel="1"/>
    <col min="11" max="11" width="2.75" style="2" hidden="1" customWidth="1" collapsed="1"/>
    <col min="12" max="12" width="12" style="2" hidden="1" customWidth="1" outlineLevel="1"/>
    <col min="13" max="13" width="10" style="2" hidden="1" customWidth="1" outlineLevel="1"/>
    <col min="14" max="14" width="10.75" style="2" customWidth="1" collapsed="1"/>
    <col min="15" max="15" width="7.25" style="2" customWidth="1"/>
    <col min="16" max="16" width="7.625" style="2" customWidth="1"/>
    <col min="17" max="17" width="16.25" style="2" hidden="1" customWidth="1" outlineLevel="1"/>
    <col min="18" max="18" width="11.125" style="2" hidden="1" customWidth="1" outlineLevel="1"/>
    <col min="19" max="21" width="7.5" style="2" hidden="1" customWidth="1" outlineLevel="1"/>
    <col min="22" max="22" width="11.875" style="2" hidden="1" customWidth="1" outlineLevel="1"/>
    <col min="23" max="23" width="7.5" style="2" hidden="1" customWidth="1" outlineLevel="1"/>
    <col min="24" max="24" width="14.5" style="2" hidden="1" customWidth="1" outlineLevel="1"/>
    <col min="25" max="25" width="7.5" style="2" hidden="1" customWidth="1" outlineLevel="1"/>
    <col min="26" max="26" width="2.5" style="2" hidden="1" customWidth="1" collapsed="1"/>
    <col min="27" max="27" width="6.875" style="2" customWidth="1"/>
    <col min="28" max="28" width="10.25" style="2" customWidth="1"/>
    <col min="29" max="29" width="9.875" style="2" customWidth="1" outlineLevel="1"/>
    <col min="30" max="30" width="9.5" style="2" customWidth="1" outlineLevel="1"/>
    <col min="31" max="31" width="8" style="2" customWidth="1" outlineLevel="1"/>
    <col min="32" max="33" width="9.875" style="2" customWidth="1" outlineLevel="1"/>
    <col min="34" max="34" width="8.875" style="2" customWidth="1" outlineLevel="1"/>
    <col min="35" max="35" width="8.875" style="2" customWidth="1"/>
    <col min="36" max="36" width="13.125" style="2" hidden="1" customWidth="1" outlineLevel="1"/>
    <col min="37" max="37" width="11.75" style="2" hidden="1" customWidth="1" outlineLevel="1"/>
    <col min="38" max="38" width="11.375" style="2" hidden="1" customWidth="1" outlineLevel="1"/>
    <col min="39" max="39" width="11.875" style="2" hidden="1" customWidth="1" outlineLevel="1"/>
    <col min="40" max="41" width="12" style="2" hidden="1" customWidth="1" outlineLevel="1"/>
    <col min="42" max="42" width="8.75" style="2" customWidth="1" collapsed="1"/>
    <col min="43" max="43" width="10.25" style="2" customWidth="1" outlineLevel="1"/>
    <col min="44" max="44" width="8.75" style="2" customWidth="1" outlineLevel="1"/>
    <col min="45" max="45" width="8" style="2" customWidth="1" outlineLevel="1"/>
    <col min="46" max="47" width="8.5" style="2" customWidth="1" outlineLevel="1"/>
    <col min="48" max="48" width="8.75" style="2" customWidth="1" outlineLevel="1"/>
    <col min="49" max="49" width="8.75" style="2" customWidth="1"/>
    <col min="50" max="50" width="13.25" style="2" hidden="1" customWidth="1" outlineLevel="1"/>
    <col min="51" max="52" width="11.25" style="2" hidden="1" customWidth="1" outlineLevel="1"/>
    <col min="53" max="53" width="11.625" style="2" hidden="1" customWidth="1" outlineLevel="1"/>
    <col min="54" max="54" width="12" style="2" hidden="1" customWidth="1" outlineLevel="1"/>
    <col min="55" max="55" width="10.625" style="2" hidden="1" customWidth="1" outlineLevel="1"/>
    <col min="56" max="56" width="6.5" style="2" customWidth="1" collapsed="1"/>
    <col min="57" max="57" width="13.75" style="2" hidden="1" customWidth="1" outlineLevel="1"/>
    <col min="58" max="59" width="12.625" style="2" hidden="1" customWidth="1" outlineLevel="1"/>
    <col min="60" max="61" width="13.75" style="2" hidden="1" customWidth="1" outlineLevel="1"/>
    <col min="62" max="62" width="12.625" style="2" hidden="1" customWidth="1" outlineLevel="1"/>
    <col min="63" max="63" width="22.75" style="2" customWidth="1" collapsed="1"/>
    <col min="64" max="64" width="7.5" style="2" bestFit="1" customWidth="1"/>
    <col min="65" max="65" width="8.125" style="2" bestFit="1" customWidth="1"/>
    <col min="66" max="16384" width="9" style="2"/>
  </cols>
  <sheetData>
    <row r="1" spans="1:65" s="9" customFormat="1" ht="19.5">
      <c r="A1" s="9" t="s">
        <v>19</v>
      </c>
    </row>
    <row r="2" spans="1:65" s="3" customFormat="1">
      <c r="N2" s="92" t="s">
        <v>135</v>
      </c>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row>
    <row r="3" spans="1:65" s="3" customFormat="1" ht="15.75" customHeight="1">
      <c r="C3" s="122" t="s">
        <v>20</v>
      </c>
      <c r="D3" s="122"/>
      <c r="E3" s="122"/>
      <c r="F3" s="122"/>
      <c r="G3" s="122"/>
      <c r="H3" s="122"/>
      <c r="I3" s="122"/>
      <c r="J3" s="122"/>
      <c r="K3" s="11"/>
      <c r="L3" s="125" t="s">
        <v>21</v>
      </c>
      <c r="M3" s="126"/>
      <c r="N3" s="126"/>
      <c r="O3" s="126"/>
      <c r="P3" s="126"/>
      <c r="Q3" s="126"/>
      <c r="R3" s="126"/>
      <c r="S3" s="126"/>
      <c r="T3" s="126"/>
      <c r="U3" s="126"/>
      <c r="V3" s="126"/>
      <c r="W3" s="126"/>
      <c r="X3" s="126"/>
      <c r="Y3" s="126"/>
      <c r="Z3" s="126"/>
      <c r="AA3" s="127"/>
      <c r="AB3" s="123" t="s">
        <v>22</v>
      </c>
      <c r="AC3" s="123"/>
      <c r="AD3" s="123"/>
      <c r="AE3" s="123"/>
      <c r="AF3" s="123"/>
      <c r="AG3" s="123"/>
      <c r="AH3" s="123"/>
      <c r="AI3" s="123"/>
      <c r="AJ3" s="124" t="s">
        <v>23</v>
      </c>
      <c r="AK3" s="124"/>
      <c r="AL3" s="124"/>
      <c r="AM3" s="124"/>
      <c r="AN3" s="124"/>
      <c r="AO3" s="124"/>
      <c r="AP3" s="124"/>
      <c r="AQ3" s="118" t="s">
        <v>2</v>
      </c>
      <c r="AR3" s="119"/>
      <c r="AS3" s="119"/>
      <c r="AT3" s="119"/>
      <c r="AU3" s="119"/>
      <c r="AV3" s="119"/>
      <c r="AW3" s="120"/>
      <c r="AX3" s="118" t="s">
        <v>24</v>
      </c>
      <c r="AY3" s="119"/>
      <c r="AZ3" s="119"/>
      <c r="BA3" s="119"/>
      <c r="BB3" s="119"/>
      <c r="BC3" s="119"/>
      <c r="BD3" s="120"/>
      <c r="BE3" s="118" t="s">
        <v>188</v>
      </c>
      <c r="BF3" s="119"/>
      <c r="BG3" s="119"/>
      <c r="BH3" s="119"/>
      <c r="BI3" s="119"/>
      <c r="BJ3" s="119"/>
      <c r="BK3" s="120"/>
    </row>
    <row r="4" spans="1:65" ht="37.5">
      <c r="B4" s="89" t="s">
        <v>25</v>
      </c>
      <c r="C4" s="89" t="s">
        <v>132</v>
      </c>
      <c r="D4" s="13" t="s">
        <v>26</v>
      </c>
      <c r="E4" s="13" t="s">
        <v>27</v>
      </c>
      <c r="F4" s="12" t="s">
        <v>28</v>
      </c>
      <c r="G4" s="13" t="s">
        <v>29</v>
      </c>
      <c r="H4" s="13" t="s">
        <v>30</v>
      </c>
      <c r="I4" s="12" t="s">
        <v>31</v>
      </c>
      <c r="J4" s="13" t="s">
        <v>32</v>
      </c>
      <c r="K4" s="14" t="s">
        <v>15</v>
      </c>
      <c r="L4" s="15" t="s">
        <v>33</v>
      </c>
      <c r="M4" s="15" t="s">
        <v>34</v>
      </c>
      <c r="N4" s="90" t="s">
        <v>35</v>
      </c>
      <c r="O4" s="90" t="s">
        <v>36</v>
      </c>
      <c r="P4" s="90" t="s">
        <v>37</v>
      </c>
      <c r="Q4" s="15" t="s">
        <v>42</v>
      </c>
      <c r="R4" s="15" t="s">
        <v>43</v>
      </c>
      <c r="S4" s="15" t="s">
        <v>38</v>
      </c>
      <c r="T4" s="15" t="s">
        <v>39</v>
      </c>
      <c r="U4" s="15" t="s">
        <v>40</v>
      </c>
      <c r="V4" s="15" t="s">
        <v>41</v>
      </c>
      <c r="W4" s="15" t="s">
        <v>120</v>
      </c>
      <c r="X4" s="15" t="s">
        <v>121</v>
      </c>
      <c r="Y4" s="15" t="s">
        <v>122</v>
      </c>
      <c r="Z4" s="14" t="s">
        <v>44</v>
      </c>
      <c r="AA4" s="32" t="s">
        <v>92</v>
      </c>
      <c r="AB4" s="16" t="s">
        <v>14</v>
      </c>
      <c r="AC4" s="17" t="s">
        <v>98</v>
      </c>
      <c r="AD4" s="17" t="s">
        <v>94</v>
      </c>
      <c r="AE4" s="17" t="s">
        <v>95</v>
      </c>
      <c r="AF4" s="17" t="s">
        <v>96</v>
      </c>
      <c r="AG4" s="17" t="s">
        <v>97</v>
      </c>
      <c r="AH4" s="17" t="s">
        <v>45</v>
      </c>
      <c r="AI4" s="44" t="s">
        <v>16</v>
      </c>
      <c r="AJ4" s="18" t="s">
        <v>99</v>
      </c>
      <c r="AK4" s="18" t="s">
        <v>100</v>
      </c>
      <c r="AL4" s="18" t="s">
        <v>101</v>
      </c>
      <c r="AM4" s="18" t="s">
        <v>102</v>
      </c>
      <c r="AN4" s="18" t="s">
        <v>103</v>
      </c>
      <c r="AO4" s="18" t="s">
        <v>46</v>
      </c>
      <c r="AP4" s="18" t="s">
        <v>23</v>
      </c>
      <c r="AQ4" s="91" t="s">
        <v>104</v>
      </c>
      <c r="AR4" s="91" t="s">
        <v>105</v>
      </c>
      <c r="AS4" s="91" t="s">
        <v>106</v>
      </c>
      <c r="AT4" s="91" t="s">
        <v>107</v>
      </c>
      <c r="AU4" s="91" t="s">
        <v>108</v>
      </c>
      <c r="AV4" s="91" t="s">
        <v>47</v>
      </c>
      <c r="AW4" s="18" t="s">
        <v>2</v>
      </c>
      <c r="AX4" s="18" t="s">
        <v>110</v>
      </c>
      <c r="AY4" s="18" t="s">
        <v>111</v>
      </c>
      <c r="AZ4" s="18" t="s">
        <v>112</v>
      </c>
      <c r="BA4" s="18" t="s">
        <v>113</v>
      </c>
      <c r="BB4" s="18" t="s">
        <v>114</v>
      </c>
      <c r="BC4" s="18" t="s">
        <v>109</v>
      </c>
      <c r="BD4" s="18" t="s">
        <v>48</v>
      </c>
      <c r="BE4" s="18" t="s">
        <v>115</v>
      </c>
      <c r="BF4" s="18" t="s">
        <v>116</v>
      </c>
      <c r="BG4" s="18" t="s">
        <v>117</v>
      </c>
      <c r="BH4" s="18" t="s">
        <v>118</v>
      </c>
      <c r="BI4" s="18" t="s">
        <v>119</v>
      </c>
      <c r="BJ4" s="18" t="s">
        <v>49</v>
      </c>
      <c r="BK4" s="18" t="s">
        <v>188</v>
      </c>
      <c r="BL4" s="18" t="s">
        <v>131</v>
      </c>
      <c r="BM4" s="18" t="s">
        <v>50</v>
      </c>
    </row>
    <row r="5" spans="1:65" s="3" customFormat="1" ht="31.5" customHeight="1">
      <c r="A5" s="82" t="s">
        <v>134</v>
      </c>
      <c r="B5" s="45" t="s">
        <v>51</v>
      </c>
      <c r="C5" s="46" t="s">
        <v>52</v>
      </c>
      <c r="D5" s="46" t="s">
        <v>53</v>
      </c>
      <c r="E5" s="46" t="s">
        <v>54</v>
      </c>
      <c r="F5" s="46" t="s">
        <v>55</v>
      </c>
      <c r="G5" s="46" t="s">
        <v>56</v>
      </c>
      <c r="H5" s="46" t="s">
        <v>57</v>
      </c>
      <c r="I5" s="46" t="s">
        <v>0</v>
      </c>
      <c r="J5" s="47">
        <v>42461</v>
      </c>
      <c r="K5" s="47"/>
      <c r="L5" s="46" t="s">
        <v>58</v>
      </c>
      <c r="M5" s="46" t="s">
        <v>59</v>
      </c>
      <c r="N5" s="46" t="s">
        <v>60</v>
      </c>
      <c r="O5" s="46" t="s">
        <v>60</v>
      </c>
      <c r="P5" s="46" t="s">
        <v>61</v>
      </c>
      <c r="Q5" s="46" t="s">
        <v>62</v>
      </c>
      <c r="R5" s="46" t="s">
        <v>63</v>
      </c>
      <c r="S5" s="48"/>
      <c r="T5" s="49"/>
      <c r="U5" s="49"/>
      <c r="V5" s="50"/>
      <c r="W5" s="51"/>
      <c r="X5" s="51" t="s">
        <v>123</v>
      </c>
      <c r="Y5" s="51" t="s">
        <v>124</v>
      </c>
      <c r="Z5" s="46"/>
      <c r="AA5" s="52">
        <f>3*COUNTIF(テーブル33[[#This Row],[ダウンタイム許容度]:[社会影響度]],"H")+2*COUNTIF(テーブル33[[#This Row],[ダウンタイム許容度]:[社会影響度]],"M")+1*COUNTIF(テーブル33[[#This Row],[ダウンタイム許容度]:[社会影響度]],"L")</f>
        <v>8</v>
      </c>
      <c r="AB5" s="52">
        <v>2</v>
      </c>
      <c r="AC5" s="53">
        <v>2.8000000000000003</v>
      </c>
      <c r="AD5" s="53">
        <v>6</v>
      </c>
      <c r="AE5" s="53">
        <v>4.2857142857142865</v>
      </c>
      <c r="AF5" s="53">
        <v>10.8</v>
      </c>
      <c r="AG5" s="53">
        <v>13.2</v>
      </c>
      <c r="AH5" s="53">
        <v>18.000000000000004</v>
      </c>
      <c r="AI5" s="51">
        <f>SUM(テーブル33[[#This Row],[点数（データ活用性）]:[点数（IT資産）]])</f>
        <v>55.085714285714289</v>
      </c>
      <c r="AJ5" s="54">
        <f>テーブル33[[#This Row],[点数（データ活用性）]]*テーブル33[[#This Row],[重み]]</f>
        <v>5.6000000000000005</v>
      </c>
      <c r="AK5" s="54">
        <f>テーブル33[[#This Row],[点数（アジリティ）]]*テーブル33[[#This Row],[重み]]</f>
        <v>12</v>
      </c>
      <c r="AL5" s="54">
        <f>テーブル33[[#This Row],[点数（スピード）]]*テーブル33[[#This Row],[重み]]</f>
        <v>8.571428571428573</v>
      </c>
      <c r="AM5" s="54">
        <f>テーブル33[[#This Row],[点数（利用品質）]]*テーブル33[[#This Row],[重み]]</f>
        <v>21.6</v>
      </c>
      <c r="AN5" s="54">
        <f>テーブル33[[#This Row],[点数（開発品質）]]*テーブル33[[#This Row],[重み]]</f>
        <v>26.4</v>
      </c>
      <c r="AO5" s="54">
        <f>テーブル33[[#This Row],[点数（IT資産）]]*テーブル33[[#This Row],[重み]]</f>
        <v>36.000000000000007</v>
      </c>
      <c r="AP5" s="53">
        <f>SUM(テーブル33[[#This Row],[点数（データ活用性）×重み]:[点数（IT資産）×重み]])</f>
        <v>110.17142857142858</v>
      </c>
      <c r="AQ5" s="53">
        <v>10</v>
      </c>
      <c r="AR5" s="53">
        <v>10</v>
      </c>
      <c r="AS5" s="53">
        <v>10</v>
      </c>
      <c r="AT5" s="53">
        <v>20</v>
      </c>
      <c r="AU5" s="53">
        <v>20</v>
      </c>
      <c r="AV5" s="53">
        <v>30</v>
      </c>
      <c r="AW5" s="53">
        <f>SUM(テーブル33[[#This Row],[配点（データ活用性）]:[配点（IT資産）]])</f>
        <v>100</v>
      </c>
      <c r="AX5" s="53">
        <f>テーブル33[[#This Row],[配点（データ活用性）]]*テーブル33[[#This Row],[重み]]</f>
        <v>20</v>
      </c>
      <c r="AY5" s="53">
        <f>テーブル33[[#This Row],[配点（アジリティ）]]*テーブル33[[#This Row],[重み]]</f>
        <v>20</v>
      </c>
      <c r="AZ5" s="53">
        <f>テーブル33[[#This Row],[配点（スピード）]]*テーブル33[[#This Row],[重み]]</f>
        <v>20</v>
      </c>
      <c r="BA5" s="53">
        <f>テーブル33[[#This Row],[配点（利用品質）]]*テーブル33[[#This Row],[重み]]</f>
        <v>40</v>
      </c>
      <c r="BB5" s="53">
        <f>テーブル33[[#This Row],[配点（開発品質）]]*テーブル33[[#This Row],[重み]]</f>
        <v>40</v>
      </c>
      <c r="BC5" s="53">
        <f>テーブル33[[#This Row],[配点（IT資産）]]*テーブル33[[#This Row],[重み]]</f>
        <v>60</v>
      </c>
      <c r="BD5" s="53">
        <f>SUM(テーブル33[[#This Row],[配点（データ活用性）×重み]:[配点（IT資産）×重み]])</f>
        <v>200</v>
      </c>
      <c r="BE5" s="53">
        <f>テーブル33[[#This Row],[点数（データ活用性）×重み]]*(テーブル33[[#Totals],[配点（データ活用性）]]/テーブル33[[#Totals],[配点（データ活用性）×重み]])</f>
        <v>4.5818181818181829</v>
      </c>
      <c r="BF5" s="53">
        <f>テーブル33[[#This Row],[点数（アジリティ）×重み]]*(テーブル33[[#Totals],[配点（アジリティ）]]/テーブル33[[#Totals],[配点（アジリティ）×重み]])</f>
        <v>10.105263157894736</v>
      </c>
      <c r="BG5" s="53">
        <f>テーブル33[[#This Row],[点数（スピード）×重み]]*(テーブル33[[#Totals],[配点（スピード）]]/テーブル33[[#Totals],[配点（スピード）×重み]])</f>
        <v>7.2180451127819554</v>
      </c>
      <c r="BH5" s="53">
        <f>テーブル33[[#This Row],[点数（利用品質）×重み]]*(テーブル33[[#Totals],[配点（利用品質）]]/テーブル33[[#Totals],[配点（利用品質）×重み]])</f>
        <v>18.782608695652176</v>
      </c>
      <c r="BI5" s="53">
        <f>テーブル33[[#This Row],[点数（開発品質）×重み]]*(テーブル33[[#Totals],[配点（開発品質）]]/テーブル33[[#Totals],[配点（開発品質）×重み]])</f>
        <v>22.956521739130434</v>
      </c>
      <c r="BJ5" s="53">
        <f>テーブル33[[#This Row],[点数（IT資産）×重み]]*(テーブル33[[#Totals],[配点（IT資産）]]/テーブル33[[#Totals],[配点（IT資産）×重み]])</f>
        <v>29.508196721311482</v>
      </c>
      <c r="BK5" s="53">
        <f>テーブル33[[#This Row],[点数×重み]]*(テーブル33[[#Totals],[配点]]/テーブル33[[#Totals],[配点×重み]])</f>
        <v>92.775939849624066</v>
      </c>
      <c r="BL5" s="53">
        <f>テーブル33[[#This Row],[点数×重み×配点の合計／（配点×重みの合計）]]/テーブル33[[#Totals],[配点]]*100</f>
        <v>11.596992481203008</v>
      </c>
      <c r="BM5" s="69">
        <f>テーブル33[[#This Row],[配点×重み]]/テーブル33[[#Totals],[配点×重み]]</f>
        <v>0.21052631578947367</v>
      </c>
    </row>
    <row r="6" spans="1:65" s="3" customFormat="1" ht="31.5" customHeight="1">
      <c r="A6" s="121"/>
      <c r="B6" s="55" t="s">
        <v>64</v>
      </c>
      <c r="C6" s="3" t="s">
        <v>65</v>
      </c>
      <c r="D6" s="3" t="s">
        <v>66</v>
      </c>
      <c r="E6" s="3" t="s">
        <v>54</v>
      </c>
      <c r="F6" s="3" t="s">
        <v>55</v>
      </c>
      <c r="G6" s="3" t="s">
        <v>67</v>
      </c>
      <c r="H6" s="3" t="s">
        <v>68</v>
      </c>
      <c r="I6" s="3" t="s">
        <v>0</v>
      </c>
      <c r="J6" s="56">
        <v>40452</v>
      </c>
      <c r="K6" s="56"/>
      <c r="L6" s="3" t="s">
        <v>69</v>
      </c>
      <c r="M6" s="3" t="s">
        <v>59</v>
      </c>
      <c r="N6" s="3" t="s">
        <v>70</v>
      </c>
      <c r="O6" s="3" t="s">
        <v>61</v>
      </c>
      <c r="P6" s="3" t="s">
        <v>61</v>
      </c>
      <c r="Q6" s="3" t="s">
        <v>71</v>
      </c>
      <c r="R6" s="3" t="s">
        <v>72</v>
      </c>
      <c r="S6" s="57"/>
      <c r="T6" s="58"/>
      <c r="U6" s="58"/>
      <c r="V6" s="59"/>
      <c r="W6" s="53"/>
      <c r="X6" s="53"/>
      <c r="Y6" s="53"/>
      <c r="AA6" s="52">
        <f>3*COUNTIF(テーブル33[[#This Row],[ダウンタイム許容度]:[社会影響度]],"H")+2*COUNTIF(テーブル33[[#This Row],[ダウンタイム許容度]:[社会影響度]],"M")+1*COUNTIF(テーブル33[[#This Row],[ダウンタイム許容度]:[社会影響度]],"L")</f>
        <v>6</v>
      </c>
      <c r="AB6" s="52">
        <v>1.5</v>
      </c>
      <c r="AC6" s="108">
        <v>4</v>
      </c>
      <c r="AD6" s="108">
        <v>5</v>
      </c>
      <c r="AE6" s="108">
        <v>3</v>
      </c>
      <c r="AF6" s="108">
        <v>8</v>
      </c>
      <c r="AG6" s="108">
        <v>12</v>
      </c>
      <c r="AH6" s="108">
        <v>15</v>
      </c>
      <c r="AI6" s="53">
        <f>SUM(テーブル33[[#This Row],[点数（データ活用性）]:[点数（IT資産）]])</f>
        <v>47</v>
      </c>
      <c r="AJ6" s="54">
        <f>テーブル33[[#This Row],[点数（データ活用性）]]*テーブル33[[#This Row],[重み]]</f>
        <v>6</v>
      </c>
      <c r="AK6" s="54">
        <f>テーブル33[[#This Row],[点数（アジリティ）]]*テーブル33[[#This Row],[重み]]</f>
        <v>7.5</v>
      </c>
      <c r="AL6" s="54">
        <f>テーブル33[[#This Row],[点数（スピード）]]*テーブル33[[#This Row],[重み]]</f>
        <v>4.5</v>
      </c>
      <c r="AM6" s="54">
        <f>テーブル33[[#This Row],[点数（利用品質）]]*テーブル33[[#This Row],[重み]]</f>
        <v>12</v>
      </c>
      <c r="AN6" s="54">
        <f>テーブル33[[#This Row],[点数（開発品質）]]*テーブル33[[#This Row],[重み]]</f>
        <v>18</v>
      </c>
      <c r="AO6" s="54">
        <f>テーブル33[[#This Row],[点数（IT資産）]]*テーブル33[[#This Row],[重み]]</f>
        <v>22.5</v>
      </c>
      <c r="AP6" s="53">
        <f>SUM(テーブル33[[#This Row],[点数（データ活用性）×重み]:[点数（IT資産）×重み]])</f>
        <v>70.5</v>
      </c>
      <c r="AQ6" s="53">
        <v>20</v>
      </c>
      <c r="AR6" s="53">
        <v>10</v>
      </c>
      <c r="AS6" s="53">
        <v>10</v>
      </c>
      <c r="AT6" s="53">
        <v>15</v>
      </c>
      <c r="AU6" s="53">
        <v>15</v>
      </c>
      <c r="AV6" s="53">
        <v>30</v>
      </c>
      <c r="AW6" s="53">
        <f>SUM(テーブル33[[#This Row],[配点（データ活用性）]:[配点（IT資産）]])</f>
        <v>100</v>
      </c>
      <c r="AX6" s="53">
        <f>テーブル33[[#This Row],[配点（データ活用性）]]*テーブル33[[#This Row],[重み]]</f>
        <v>30</v>
      </c>
      <c r="AY6" s="53">
        <f>テーブル33[[#This Row],[配点（アジリティ）]]*テーブル33[[#This Row],[重み]]</f>
        <v>15</v>
      </c>
      <c r="AZ6" s="53">
        <f>テーブル33[[#This Row],[配点（スピード）]]*テーブル33[[#This Row],[重み]]</f>
        <v>15</v>
      </c>
      <c r="BA6" s="53">
        <f>テーブル33[[#This Row],[配点（利用品質）]]*テーブル33[[#This Row],[重み]]</f>
        <v>22.5</v>
      </c>
      <c r="BB6" s="53">
        <f>テーブル33[[#This Row],[配点（開発品質）]]*テーブル33[[#This Row],[重み]]</f>
        <v>22.5</v>
      </c>
      <c r="BC6" s="53">
        <f>テーブル33[[#This Row],[配点（IT資産）]]*テーブル33[[#This Row],[重み]]</f>
        <v>45</v>
      </c>
      <c r="BD6" s="53">
        <f>SUM(テーブル33[[#This Row],[配点（データ活用性）×重み]:[配点（IT資産）×重み]])</f>
        <v>150</v>
      </c>
      <c r="BE6" s="53">
        <f>テーブル33[[#This Row],[点数（データ活用性）×重み]]*(テーブル33[[#Totals],[配点（データ活用性）]]/テーブル33[[#Totals],[配点（データ活用性）×重み]])</f>
        <v>4.9090909090909092</v>
      </c>
      <c r="BF6" s="53">
        <f>テーブル33[[#This Row],[点数（アジリティ）×重み]]*(テーブル33[[#Totals],[配点（アジリティ）]]/テーブル33[[#Totals],[配点（アジリティ）×重み]])</f>
        <v>6.3157894736842106</v>
      </c>
      <c r="BG6" s="53">
        <f>テーブル33[[#This Row],[点数（スピード）×重み]]*(テーブル33[[#Totals],[配点（スピード）]]/テーブル33[[#Totals],[配点（スピード）×重み]])</f>
        <v>3.7894736842105261</v>
      </c>
      <c r="BH6" s="53">
        <f>テーブル33[[#This Row],[点数（利用品質）×重み]]*(テーブル33[[#Totals],[配点（利用品質）]]/テーブル33[[#Totals],[配点（利用品質）×重み]])</f>
        <v>10.434782608695652</v>
      </c>
      <c r="BI6" s="53">
        <f>テーブル33[[#This Row],[点数（開発品質）×重み]]*(テーブル33[[#Totals],[配点（開発品質）]]/テーブル33[[#Totals],[配点（開発品質）×重み]])</f>
        <v>15.652173913043478</v>
      </c>
      <c r="BJ6" s="53">
        <f>テーブル33[[#This Row],[点数（IT資産）×重み]]*(テーブル33[[#Totals],[配点（IT資産）]]/テーブル33[[#Totals],[配点（IT資産）×重み]])</f>
        <v>18.442622950819672</v>
      </c>
      <c r="BK6" s="53">
        <f>テーブル33[[#This Row],[点数×重み]]*(テーブル33[[#Totals],[配点]]/テーブル33[[#Totals],[配点×重み]])</f>
        <v>59.368421052631575</v>
      </c>
      <c r="BL6" s="53">
        <f>テーブル33[[#This Row],[点数×重み×配点の合計／（配点×重みの合計）]]/テーブル33[[#Totals],[配点]]*100</f>
        <v>7.421052631578946</v>
      </c>
      <c r="BM6" s="69">
        <f>テーブル33[[#This Row],[配点×重み]]/テーブル33[[#Totals],[配点×重み]]</f>
        <v>0.15789473684210525</v>
      </c>
    </row>
    <row r="7" spans="1:65" s="3" customFormat="1" ht="31.5" customHeight="1">
      <c r="A7" s="121"/>
      <c r="B7" s="45" t="s">
        <v>73</v>
      </c>
      <c r="C7" s="46" t="s">
        <v>74</v>
      </c>
      <c r="D7" s="46" t="s">
        <v>75</v>
      </c>
      <c r="E7" s="46" t="s">
        <v>75</v>
      </c>
      <c r="F7" s="46" t="s">
        <v>55</v>
      </c>
      <c r="G7" s="46" t="s">
        <v>0</v>
      </c>
      <c r="H7" s="46" t="s">
        <v>0</v>
      </c>
      <c r="I7" s="46" t="s">
        <v>76</v>
      </c>
      <c r="J7" s="47">
        <v>43374</v>
      </c>
      <c r="K7" s="47"/>
      <c r="L7" s="46" t="s">
        <v>58</v>
      </c>
      <c r="M7" s="46" t="s">
        <v>59</v>
      </c>
      <c r="N7" s="46" t="s">
        <v>60</v>
      </c>
      <c r="O7" s="46" t="s">
        <v>60</v>
      </c>
      <c r="P7" s="46" t="s">
        <v>77</v>
      </c>
      <c r="Q7" s="46" t="s">
        <v>78</v>
      </c>
      <c r="R7" s="46" t="s">
        <v>79</v>
      </c>
      <c r="S7" s="48"/>
      <c r="T7" s="49"/>
      <c r="U7" s="49"/>
      <c r="V7" s="50"/>
      <c r="W7" s="51"/>
      <c r="X7" s="51"/>
      <c r="Y7" s="51"/>
      <c r="Z7" s="46"/>
      <c r="AA7" s="52">
        <f>3*COUNTIF(テーブル33[[#This Row],[ダウンタイム許容度]:[社会影響度]],"H")+2*COUNTIF(テーブル33[[#This Row],[ダウンタイム許容度]:[社会影響度]],"M")+1*COUNTIF(テーブル33[[#This Row],[ダウンタイム許容度]:[社会影響度]],"L")</f>
        <v>7</v>
      </c>
      <c r="AB7" s="52">
        <v>2</v>
      </c>
      <c r="AC7" s="109">
        <v>2</v>
      </c>
      <c r="AD7" s="109">
        <v>5</v>
      </c>
      <c r="AE7" s="109">
        <v>3</v>
      </c>
      <c r="AF7" s="109">
        <v>5</v>
      </c>
      <c r="AG7" s="109">
        <v>10</v>
      </c>
      <c r="AH7" s="109">
        <v>20</v>
      </c>
      <c r="AI7" s="51">
        <f>SUM(テーブル33[[#This Row],[点数（データ活用性）]:[点数（IT資産）]])</f>
        <v>45</v>
      </c>
      <c r="AJ7" s="54">
        <f>テーブル33[[#This Row],[点数（データ活用性）]]*テーブル33[[#This Row],[重み]]</f>
        <v>4</v>
      </c>
      <c r="AK7" s="54">
        <f>テーブル33[[#This Row],[点数（アジリティ）]]*テーブル33[[#This Row],[重み]]</f>
        <v>10</v>
      </c>
      <c r="AL7" s="54">
        <f>テーブル33[[#This Row],[点数（スピード）]]*テーブル33[[#This Row],[重み]]</f>
        <v>6</v>
      </c>
      <c r="AM7" s="54">
        <f>テーブル33[[#This Row],[点数（利用品質）]]*テーブル33[[#This Row],[重み]]</f>
        <v>10</v>
      </c>
      <c r="AN7" s="54">
        <f>テーブル33[[#This Row],[点数（開発品質）]]*テーブル33[[#This Row],[重み]]</f>
        <v>20</v>
      </c>
      <c r="AO7" s="54">
        <f>テーブル33[[#This Row],[点数（IT資産）]]*テーブル33[[#This Row],[重み]]</f>
        <v>40</v>
      </c>
      <c r="AP7" s="53">
        <f>SUM(テーブル33[[#This Row],[点数（データ活用性）×重み]:[点数（IT資産）×重み]])</f>
        <v>90</v>
      </c>
      <c r="AQ7" s="53">
        <v>10</v>
      </c>
      <c r="AR7" s="53">
        <v>10</v>
      </c>
      <c r="AS7" s="53">
        <v>10</v>
      </c>
      <c r="AT7" s="53">
        <v>15</v>
      </c>
      <c r="AU7" s="53">
        <v>15</v>
      </c>
      <c r="AV7" s="53">
        <v>40</v>
      </c>
      <c r="AW7" s="53">
        <f>SUM(テーブル33[[#This Row],[配点（データ活用性）]:[配点（IT資産）]])</f>
        <v>100</v>
      </c>
      <c r="AX7" s="53">
        <f>テーブル33[[#This Row],[配点（データ活用性）]]*テーブル33[[#This Row],[重み]]</f>
        <v>20</v>
      </c>
      <c r="AY7" s="53">
        <f>テーブル33[[#This Row],[配点（アジリティ）]]*テーブル33[[#This Row],[重み]]</f>
        <v>20</v>
      </c>
      <c r="AZ7" s="53">
        <f>テーブル33[[#This Row],[配点（スピード）]]*テーブル33[[#This Row],[重み]]</f>
        <v>20</v>
      </c>
      <c r="BA7" s="53">
        <f>テーブル33[[#This Row],[配点（利用品質）]]*テーブル33[[#This Row],[重み]]</f>
        <v>30</v>
      </c>
      <c r="BB7" s="53">
        <f>テーブル33[[#This Row],[配点（開発品質）]]*テーブル33[[#This Row],[重み]]</f>
        <v>30</v>
      </c>
      <c r="BC7" s="53">
        <f>テーブル33[[#This Row],[配点（IT資産）]]*テーブル33[[#This Row],[重み]]</f>
        <v>80</v>
      </c>
      <c r="BD7" s="53">
        <f>SUM(テーブル33[[#This Row],[配点（データ活用性）×重み]:[配点（IT資産）×重み]])</f>
        <v>200</v>
      </c>
      <c r="BE7" s="53">
        <f>テーブル33[[#This Row],[点数（データ活用性）×重み]]*(テーブル33[[#Totals],[配点（データ活用性）]]/テーブル33[[#Totals],[配点（データ活用性）×重み]])</f>
        <v>3.2727272727272729</v>
      </c>
      <c r="BF7" s="53">
        <f>テーブル33[[#This Row],[点数（アジリティ）×重み]]*(テーブル33[[#Totals],[配点（アジリティ）]]/テーブル33[[#Totals],[配点（アジリティ）×重み]])</f>
        <v>8.4210526315789469</v>
      </c>
      <c r="BG7" s="53">
        <f>テーブル33[[#This Row],[点数（スピード）×重み]]*(テーブル33[[#Totals],[配点（スピード）]]/テーブル33[[#Totals],[配点（スピード）×重み]])</f>
        <v>5.0526315789473681</v>
      </c>
      <c r="BH7" s="53">
        <f>テーブル33[[#This Row],[点数（利用品質）×重み]]*(テーブル33[[#Totals],[配点（利用品質）]]/テーブル33[[#Totals],[配点（利用品質）×重み]])</f>
        <v>8.695652173913043</v>
      </c>
      <c r="BI7" s="53">
        <f>テーブル33[[#This Row],[点数（開発品質）×重み]]*(テーブル33[[#Totals],[配点（開発品質）]]/テーブル33[[#Totals],[配点（開発品質）×重み]])</f>
        <v>17.391304347826086</v>
      </c>
      <c r="BJ7" s="53">
        <f>テーブル33[[#This Row],[点数（IT資産）×重み]]*(テーブル33[[#Totals],[配点（IT資産）]]/テーブル33[[#Totals],[配点（IT資産）×重み]])</f>
        <v>32.786885245901644</v>
      </c>
      <c r="BK7" s="53">
        <f>テーブル33[[#This Row],[点数×重み]]*(テーブル33[[#Totals],[配点]]/テーブル33[[#Totals],[配点×重み]])</f>
        <v>75.78947368421052</v>
      </c>
      <c r="BL7" s="53">
        <f>テーブル33[[#This Row],[点数×重み×配点の合計／（配点×重みの合計）]]/テーブル33[[#Totals],[配点]]*100</f>
        <v>9.473684210526315</v>
      </c>
      <c r="BM7" s="69">
        <f>テーブル33[[#This Row],[配点×重み]]/テーブル33[[#Totals],[配点×重み]]</f>
        <v>0.21052631578947367</v>
      </c>
    </row>
    <row r="8" spans="1:65" s="3" customFormat="1" ht="31.5" customHeight="1">
      <c r="A8" s="121"/>
      <c r="B8" s="55" t="s">
        <v>80</v>
      </c>
      <c r="C8" s="3" t="s">
        <v>133</v>
      </c>
      <c r="J8" s="56"/>
      <c r="K8" s="56"/>
      <c r="L8" s="3" t="s">
        <v>69</v>
      </c>
      <c r="M8" s="3" t="s">
        <v>81</v>
      </c>
      <c r="N8" s="3" t="s">
        <v>61</v>
      </c>
      <c r="O8" s="3" t="s">
        <v>61</v>
      </c>
      <c r="P8" s="3" t="s">
        <v>82</v>
      </c>
      <c r="S8" s="57"/>
      <c r="T8" s="58"/>
      <c r="U8" s="58"/>
      <c r="V8" s="59"/>
      <c r="W8" s="53"/>
      <c r="X8" s="53"/>
      <c r="Y8" s="53"/>
      <c r="AA8" s="52">
        <f>3*COUNTIF(テーブル33[[#This Row],[ダウンタイム許容度]:[社会影響度]],"H")+2*COUNTIF(テーブル33[[#This Row],[ダウンタイム許容度]:[社会影響度]],"M")+1*COUNTIF(テーブル33[[#This Row],[ダウンタイム許容度]:[社会影響度]],"L")</f>
        <v>5</v>
      </c>
      <c r="AB8" s="52">
        <v>1</v>
      </c>
      <c r="AC8" s="53">
        <v>2</v>
      </c>
      <c r="AD8" s="53">
        <v>3</v>
      </c>
      <c r="AE8" s="53">
        <v>2</v>
      </c>
      <c r="AF8" s="53">
        <v>7</v>
      </c>
      <c r="AG8" s="53">
        <v>13</v>
      </c>
      <c r="AH8" s="53">
        <v>18</v>
      </c>
      <c r="AI8" s="53">
        <f>SUM(テーブル33[[#This Row],[点数（データ活用性）]:[点数（IT資産）]])</f>
        <v>45</v>
      </c>
      <c r="AJ8" s="54">
        <f>テーブル33[[#This Row],[点数（データ活用性）]]*テーブル33[[#This Row],[重み]]</f>
        <v>2</v>
      </c>
      <c r="AK8" s="54">
        <f>テーブル33[[#This Row],[点数（アジリティ）]]*テーブル33[[#This Row],[重み]]</f>
        <v>3</v>
      </c>
      <c r="AL8" s="54">
        <f>テーブル33[[#This Row],[点数（スピード）]]*テーブル33[[#This Row],[重み]]</f>
        <v>2</v>
      </c>
      <c r="AM8" s="54">
        <f>テーブル33[[#This Row],[点数（利用品質）]]*テーブル33[[#This Row],[重み]]</f>
        <v>7</v>
      </c>
      <c r="AN8" s="54">
        <f>テーブル33[[#This Row],[点数（開発品質）]]*テーブル33[[#This Row],[重み]]</f>
        <v>13</v>
      </c>
      <c r="AO8" s="54">
        <f>テーブル33[[#This Row],[点数（IT資産）]]*テーブル33[[#This Row],[重み]]</f>
        <v>18</v>
      </c>
      <c r="AP8" s="53">
        <f>SUM(テーブル33[[#This Row],[点数（データ活用性）×重み]:[点数（IT資産）×重み]])</f>
        <v>45</v>
      </c>
      <c r="AQ8" s="53">
        <v>10</v>
      </c>
      <c r="AR8" s="53">
        <v>10</v>
      </c>
      <c r="AS8" s="53">
        <v>10</v>
      </c>
      <c r="AT8" s="53">
        <v>20</v>
      </c>
      <c r="AU8" s="53">
        <v>20</v>
      </c>
      <c r="AV8" s="53">
        <v>30</v>
      </c>
      <c r="AW8" s="53">
        <f>SUM(テーブル33[[#This Row],[配点（データ活用性）]:[配点（IT資産）]])</f>
        <v>100</v>
      </c>
      <c r="AX8" s="53">
        <f>テーブル33[[#This Row],[配点（データ活用性）]]*テーブル33[[#This Row],[重み]]</f>
        <v>10</v>
      </c>
      <c r="AY8" s="53">
        <f>テーブル33[[#This Row],[配点（アジリティ）]]*テーブル33[[#This Row],[重み]]</f>
        <v>10</v>
      </c>
      <c r="AZ8" s="53">
        <f>テーブル33[[#This Row],[配点（スピード）]]*テーブル33[[#This Row],[重み]]</f>
        <v>10</v>
      </c>
      <c r="BA8" s="53">
        <f>テーブル33[[#This Row],[配点（利用品質）]]*テーブル33[[#This Row],[重み]]</f>
        <v>20</v>
      </c>
      <c r="BB8" s="53">
        <f>テーブル33[[#This Row],[配点（開発品質）]]*テーブル33[[#This Row],[重み]]</f>
        <v>20</v>
      </c>
      <c r="BC8" s="53">
        <f>テーブル33[[#This Row],[配点（IT資産）]]*テーブル33[[#This Row],[重み]]</f>
        <v>30</v>
      </c>
      <c r="BD8" s="53">
        <f>SUM(テーブル33[[#This Row],[配点（データ活用性）×重み]:[配点（IT資産）×重み]])</f>
        <v>100</v>
      </c>
      <c r="BE8" s="53">
        <f>テーブル33[[#This Row],[点数（データ活用性）×重み]]*(テーブル33[[#Totals],[配点（データ活用性）]]/テーブル33[[#Totals],[配点（データ活用性）×重み]])</f>
        <v>1.6363636363636365</v>
      </c>
      <c r="BF8" s="53">
        <f>テーブル33[[#This Row],[点数（アジリティ）×重み]]*(テーブル33[[#Totals],[配点（アジリティ）]]/テーブル33[[#Totals],[配点（アジリティ）×重み]])</f>
        <v>2.5263157894736841</v>
      </c>
      <c r="BG8" s="53">
        <f>テーブル33[[#This Row],[点数（スピード）×重み]]*(テーブル33[[#Totals],[配点（スピード）]]/テーブル33[[#Totals],[配点（スピード）×重み]])</f>
        <v>1.6842105263157894</v>
      </c>
      <c r="BH8" s="53">
        <f>テーブル33[[#This Row],[点数（利用品質）×重み]]*(テーブル33[[#Totals],[配点（利用品質）]]/テーブル33[[#Totals],[配点（利用品質）×重み]])</f>
        <v>6.0869565217391299</v>
      </c>
      <c r="BI8" s="53">
        <f>テーブル33[[#This Row],[点数（開発品質）×重み]]*(テーブル33[[#Totals],[配点（開発品質）]]/テーブル33[[#Totals],[配点（開発品質）×重み]])</f>
        <v>11.304347826086957</v>
      </c>
      <c r="BJ8" s="53">
        <f>テーブル33[[#This Row],[点数（IT資産）×重み]]*(テーブル33[[#Totals],[配点（IT資産）]]/テーブル33[[#Totals],[配点（IT資産）×重み]])</f>
        <v>14.754098360655739</v>
      </c>
      <c r="BK8" s="53">
        <f>テーブル33[[#This Row],[点数×重み]]*(テーブル33[[#Totals],[配点]]/テーブル33[[#Totals],[配点×重み]])</f>
        <v>37.89473684210526</v>
      </c>
      <c r="BL8" s="53">
        <f>テーブル33[[#This Row],[点数×重み×配点の合計／（配点×重みの合計）]]/テーブル33[[#Totals],[配点]]*100</f>
        <v>4.7368421052631575</v>
      </c>
      <c r="BM8" s="69">
        <f>テーブル33[[#This Row],[配点×重み]]/テーブル33[[#Totals],[配点×重み]]</f>
        <v>0.10526315789473684</v>
      </c>
    </row>
    <row r="9" spans="1:65" s="3" customFormat="1" ht="31.5" customHeight="1">
      <c r="A9" s="121"/>
      <c r="B9" s="55" t="s">
        <v>83</v>
      </c>
      <c r="C9" s="3" t="s">
        <v>133</v>
      </c>
      <c r="J9" s="56"/>
      <c r="K9" s="56"/>
      <c r="L9" s="3" t="s">
        <v>69</v>
      </c>
      <c r="M9" s="3" t="s">
        <v>81</v>
      </c>
      <c r="N9" s="3" t="s">
        <v>61</v>
      </c>
      <c r="O9" s="3" t="s">
        <v>61</v>
      </c>
      <c r="P9" s="3" t="s">
        <v>82</v>
      </c>
      <c r="S9" s="57"/>
      <c r="T9" s="58"/>
      <c r="U9" s="58"/>
      <c r="V9" s="59"/>
      <c r="W9" s="53"/>
      <c r="X9" s="53"/>
      <c r="Y9" s="53"/>
      <c r="AA9" s="52">
        <f>3*COUNTIF(テーブル33[[#This Row],[ダウンタイム許容度]:[社会影響度]],"H")+2*COUNTIF(テーブル33[[#This Row],[ダウンタイム許容度]:[社会影響度]],"M")+1*COUNTIF(テーブル33[[#This Row],[ダウンタイム許容度]:[社会影響度]],"L")</f>
        <v>5</v>
      </c>
      <c r="AB9" s="52">
        <v>1</v>
      </c>
      <c r="AC9" s="53">
        <v>2</v>
      </c>
      <c r="AD9" s="53">
        <v>3</v>
      </c>
      <c r="AE9" s="53">
        <v>3</v>
      </c>
      <c r="AF9" s="53">
        <v>6</v>
      </c>
      <c r="AG9" s="53">
        <v>9</v>
      </c>
      <c r="AH9" s="53">
        <v>16</v>
      </c>
      <c r="AI9" s="53">
        <f>SUM(テーブル33[[#This Row],[点数（データ活用性）]:[点数（IT資産）]])</f>
        <v>39</v>
      </c>
      <c r="AJ9" s="54">
        <f>テーブル33[[#This Row],[点数（データ活用性）]]*テーブル33[[#This Row],[重み]]</f>
        <v>2</v>
      </c>
      <c r="AK9" s="54">
        <f>テーブル33[[#This Row],[点数（アジリティ）]]*テーブル33[[#This Row],[重み]]</f>
        <v>3</v>
      </c>
      <c r="AL9" s="54">
        <f>テーブル33[[#This Row],[点数（スピード）]]*テーブル33[[#This Row],[重み]]</f>
        <v>3</v>
      </c>
      <c r="AM9" s="54">
        <f>テーブル33[[#This Row],[点数（利用品質）]]*テーブル33[[#This Row],[重み]]</f>
        <v>6</v>
      </c>
      <c r="AN9" s="54">
        <f>テーブル33[[#This Row],[点数（開発品質）]]*テーブル33[[#This Row],[重み]]</f>
        <v>9</v>
      </c>
      <c r="AO9" s="54">
        <f>テーブル33[[#This Row],[点数（IT資産）]]*テーブル33[[#This Row],[重み]]</f>
        <v>16</v>
      </c>
      <c r="AP9" s="53">
        <f>SUM(テーブル33[[#This Row],[点数（データ活用性）×重み]:[点数（IT資産）×重み]])</f>
        <v>39</v>
      </c>
      <c r="AQ9" s="53">
        <v>10</v>
      </c>
      <c r="AR9" s="53">
        <v>10</v>
      </c>
      <c r="AS9" s="53">
        <v>10</v>
      </c>
      <c r="AT9" s="53">
        <v>20</v>
      </c>
      <c r="AU9" s="53">
        <v>20</v>
      </c>
      <c r="AV9" s="53">
        <v>30</v>
      </c>
      <c r="AW9" s="53">
        <f>SUM(テーブル33[[#This Row],[配点（データ活用性）]:[配点（IT資産）]])</f>
        <v>100</v>
      </c>
      <c r="AX9" s="53">
        <f>テーブル33[[#This Row],[配点（データ活用性）]]*テーブル33[[#This Row],[重み]]</f>
        <v>10</v>
      </c>
      <c r="AY9" s="53">
        <f>テーブル33[[#This Row],[配点（アジリティ）]]*テーブル33[[#This Row],[重み]]</f>
        <v>10</v>
      </c>
      <c r="AZ9" s="53">
        <f>テーブル33[[#This Row],[配点（スピード）]]*テーブル33[[#This Row],[重み]]</f>
        <v>10</v>
      </c>
      <c r="BA9" s="53">
        <f>テーブル33[[#This Row],[配点（利用品質）]]*テーブル33[[#This Row],[重み]]</f>
        <v>20</v>
      </c>
      <c r="BB9" s="53">
        <f>テーブル33[[#This Row],[配点（開発品質）]]*テーブル33[[#This Row],[重み]]</f>
        <v>20</v>
      </c>
      <c r="BC9" s="53">
        <f>テーブル33[[#This Row],[配点（IT資産）]]*テーブル33[[#This Row],[重み]]</f>
        <v>30</v>
      </c>
      <c r="BD9" s="53">
        <f>SUM(テーブル33[[#This Row],[配点（データ活用性）×重み]:[配点（IT資産）×重み]])</f>
        <v>100</v>
      </c>
      <c r="BE9" s="53">
        <f>テーブル33[[#This Row],[点数（データ活用性）×重み]]*(テーブル33[[#Totals],[配点（データ活用性）]]/テーブル33[[#Totals],[配点（データ活用性）×重み]])</f>
        <v>1.6363636363636365</v>
      </c>
      <c r="BF9" s="53">
        <f>テーブル33[[#This Row],[点数（アジリティ）×重み]]*(テーブル33[[#Totals],[配点（アジリティ）]]/テーブル33[[#Totals],[配点（アジリティ）×重み]])</f>
        <v>2.5263157894736841</v>
      </c>
      <c r="BG9" s="53">
        <f>テーブル33[[#This Row],[点数（スピード）×重み]]*(テーブル33[[#Totals],[配点（スピード）]]/テーブル33[[#Totals],[配点（スピード）×重み]])</f>
        <v>2.5263157894736841</v>
      </c>
      <c r="BH9" s="53">
        <f>テーブル33[[#This Row],[点数（利用品質）×重み]]*(テーブル33[[#Totals],[配点（利用品質）]]/テーブル33[[#Totals],[配点（利用品質）×重み]])</f>
        <v>5.2173913043478262</v>
      </c>
      <c r="BI9" s="53">
        <f>テーブル33[[#This Row],[点数（開発品質）×重み]]*(テーブル33[[#Totals],[配点（開発品質）]]/テーブル33[[#Totals],[配点（開発品質）×重み]])</f>
        <v>7.8260869565217392</v>
      </c>
      <c r="BJ9" s="53">
        <f>テーブル33[[#This Row],[点数（IT資産）×重み]]*(テーブル33[[#Totals],[配点（IT資産）]]/テーブル33[[#Totals],[配点（IT資産）×重み]])</f>
        <v>13.114754098360656</v>
      </c>
      <c r="BK9" s="53">
        <f>テーブル33[[#This Row],[点数×重み]]*(テーブル33[[#Totals],[配点]]/テーブル33[[#Totals],[配点×重み]])</f>
        <v>32.84210526315789</v>
      </c>
      <c r="BL9" s="53">
        <f>テーブル33[[#This Row],[点数×重み×配点の合計／（配点×重みの合計）]]/テーブル33[[#Totals],[配点]]*100</f>
        <v>4.1052631578947363</v>
      </c>
      <c r="BM9" s="69">
        <f>テーブル33[[#This Row],[配点×重み]]/テーブル33[[#Totals],[配点×重み]]</f>
        <v>0.10526315789473684</v>
      </c>
    </row>
    <row r="10" spans="1:65" s="3" customFormat="1" ht="31.5" customHeight="1">
      <c r="A10" s="121"/>
      <c r="B10" s="55" t="s">
        <v>84</v>
      </c>
      <c r="C10" s="3" t="s">
        <v>133</v>
      </c>
      <c r="J10" s="56"/>
      <c r="K10" s="56"/>
      <c r="L10" s="3" t="s">
        <v>69</v>
      </c>
      <c r="M10" s="3" t="s">
        <v>81</v>
      </c>
      <c r="N10" s="3" t="s">
        <v>61</v>
      </c>
      <c r="O10" s="3" t="s">
        <v>61</v>
      </c>
      <c r="P10" s="3" t="s">
        <v>82</v>
      </c>
      <c r="S10" s="57"/>
      <c r="T10" s="58"/>
      <c r="U10" s="58"/>
      <c r="V10" s="59"/>
      <c r="W10" s="53"/>
      <c r="X10" s="53"/>
      <c r="Y10" s="53"/>
      <c r="AA10" s="52">
        <f>3*COUNTIF(テーブル33[[#This Row],[ダウンタイム許容度]:[社会影響度]],"H")+2*COUNTIF(テーブル33[[#This Row],[ダウンタイム許容度]:[社会影響度]],"M")+1*COUNTIF(テーブル33[[#This Row],[ダウンタイム許容度]:[社会影響度]],"L")</f>
        <v>5</v>
      </c>
      <c r="AB10" s="52">
        <v>1</v>
      </c>
      <c r="AC10" s="53">
        <v>3</v>
      </c>
      <c r="AD10" s="53">
        <v>4</v>
      </c>
      <c r="AE10" s="53">
        <v>4</v>
      </c>
      <c r="AF10" s="53">
        <v>4</v>
      </c>
      <c r="AG10" s="53">
        <v>6</v>
      </c>
      <c r="AH10" s="53">
        <v>20</v>
      </c>
      <c r="AI10" s="53">
        <f>SUM(テーブル33[[#This Row],[点数（データ活用性）]:[点数（IT資産）]])</f>
        <v>41</v>
      </c>
      <c r="AJ10" s="54">
        <f>テーブル33[[#This Row],[点数（データ活用性）]]*テーブル33[[#This Row],[重み]]</f>
        <v>3</v>
      </c>
      <c r="AK10" s="54">
        <f>テーブル33[[#This Row],[点数（アジリティ）]]*テーブル33[[#This Row],[重み]]</f>
        <v>4</v>
      </c>
      <c r="AL10" s="54">
        <f>テーブル33[[#This Row],[点数（スピード）]]*テーブル33[[#This Row],[重み]]</f>
        <v>4</v>
      </c>
      <c r="AM10" s="54">
        <f>テーブル33[[#This Row],[点数（利用品質）]]*テーブル33[[#This Row],[重み]]</f>
        <v>4</v>
      </c>
      <c r="AN10" s="54">
        <f>テーブル33[[#This Row],[点数（開発品質）]]*テーブル33[[#This Row],[重み]]</f>
        <v>6</v>
      </c>
      <c r="AO10" s="54">
        <f>テーブル33[[#This Row],[点数（IT資産）]]*テーブル33[[#This Row],[重み]]</f>
        <v>20</v>
      </c>
      <c r="AP10" s="53">
        <f>SUM(テーブル33[[#This Row],[点数（データ活用性）×重み]:[点数（IT資産）×重み]])</f>
        <v>41</v>
      </c>
      <c r="AQ10" s="53">
        <v>10</v>
      </c>
      <c r="AR10" s="53">
        <v>10</v>
      </c>
      <c r="AS10" s="53">
        <v>10</v>
      </c>
      <c r="AT10" s="53">
        <v>20</v>
      </c>
      <c r="AU10" s="53">
        <v>20</v>
      </c>
      <c r="AV10" s="53">
        <v>30</v>
      </c>
      <c r="AW10" s="53">
        <f>SUM(テーブル33[[#This Row],[配点（データ活用性）]:[配点（IT資産）]])</f>
        <v>100</v>
      </c>
      <c r="AX10" s="53">
        <f>テーブル33[[#This Row],[配点（データ活用性）]]*テーブル33[[#This Row],[重み]]</f>
        <v>10</v>
      </c>
      <c r="AY10" s="53">
        <f>テーブル33[[#This Row],[配点（アジリティ）]]*テーブル33[[#This Row],[重み]]</f>
        <v>10</v>
      </c>
      <c r="AZ10" s="53">
        <f>テーブル33[[#This Row],[配点（スピード）]]*テーブル33[[#This Row],[重み]]</f>
        <v>10</v>
      </c>
      <c r="BA10" s="53">
        <f>テーブル33[[#This Row],[配点（利用品質）]]*テーブル33[[#This Row],[重み]]</f>
        <v>20</v>
      </c>
      <c r="BB10" s="53">
        <f>テーブル33[[#This Row],[配点（開発品質）]]*テーブル33[[#This Row],[重み]]</f>
        <v>20</v>
      </c>
      <c r="BC10" s="53">
        <f>テーブル33[[#This Row],[配点（IT資産）]]*テーブル33[[#This Row],[重み]]</f>
        <v>30</v>
      </c>
      <c r="BD10" s="53">
        <f>SUM(テーブル33[[#This Row],[配点（データ活用性）×重み]:[配点（IT資産）×重み]])</f>
        <v>100</v>
      </c>
      <c r="BE10" s="53">
        <f>テーブル33[[#This Row],[点数（データ活用性）×重み]]*(テーブル33[[#Totals],[配点（データ活用性）]]/テーブル33[[#Totals],[配点（データ活用性）×重み]])</f>
        <v>2.4545454545454546</v>
      </c>
      <c r="BF10" s="53">
        <f>テーブル33[[#This Row],[点数（アジリティ）×重み]]*(テーブル33[[#Totals],[配点（アジリティ）]]/テーブル33[[#Totals],[配点（アジリティ）×重み]])</f>
        <v>3.3684210526315788</v>
      </c>
      <c r="BG10" s="53">
        <f>テーブル33[[#This Row],[点数（スピード）×重み]]*(テーブル33[[#Totals],[配点（スピード）]]/テーブル33[[#Totals],[配点（スピード）×重み]])</f>
        <v>3.3684210526315788</v>
      </c>
      <c r="BH10" s="53">
        <f>テーブル33[[#This Row],[点数（利用品質）×重み]]*(テーブル33[[#Totals],[配点（利用品質）]]/テーブル33[[#Totals],[配点（利用品質）×重み]])</f>
        <v>3.4782608695652173</v>
      </c>
      <c r="BI10" s="53">
        <f>テーブル33[[#This Row],[点数（開発品質）×重み]]*(テーブル33[[#Totals],[配点（開発品質）]]/テーブル33[[#Totals],[配点（開発品質）×重み]])</f>
        <v>5.2173913043478262</v>
      </c>
      <c r="BJ10" s="53">
        <f>テーブル33[[#This Row],[点数（IT資産）×重み]]*(テーブル33[[#Totals],[配点（IT資産）]]/テーブル33[[#Totals],[配点（IT資産）×重み]])</f>
        <v>16.393442622950822</v>
      </c>
      <c r="BK10" s="53">
        <f>テーブル33[[#This Row],[点数×重み]]*(テーブル33[[#Totals],[配点]]/テーブル33[[#Totals],[配点×重み]])</f>
        <v>34.526315789473685</v>
      </c>
      <c r="BL10" s="53">
        <f>テーブル33[[#This Row],[点数×重み×配点の合計／（配点×重みの合計）]]/テーブル33[[#Totals],[配点]]*100</f>
        <v>4.3157894736842106</v>
      </c>
      <c r="BM10" s="69">
        <f>テーブル33[[#This Row],[配点×重み]]/テーブル33[[#Totals],[配点×重み]]</f>
        <v>0.10526315789473684</v>
      </c>
    </row>
    <row r="11" spans="1:65" s="3" customFormat="1" ht="31.5" customHeight="1">
      <c r="A11" s="121"/>
      <c r="B11" s="55" t="s">
        <v>85</v>
      </c>
      <c r="C11" s="3" t="s">
        <v>133</v>
      </c>
      <c r="J11" s="56"/>
      <c r="K11" s="56"/>
      <c r="L11" s="3" t="s">
        <v>69</v>
      </c>
      <c r="M11" s="3" t="s">
        <v>86</v>
      </c>
      <c r="N11" s="3" t="s">
        <v>82</v>
      </c>
      <c r="O11" s="3" t="s">
        <v>82</v>
      </c>
      <c r="P11" s="3" t="s">
        <v>82</v>
      </c>
      <c r="S11" s="57"/>
      <c r="T11" s="58"/>
      <c r="U11" s="58"/>
      <c r="V11" s="59"/>
      <c r="W11" s="53"/>
      <c r="X11" s="53"/>
      <c r="Y11" s="53"/>
      <c r="AA11" s="52">
        <f>3*COUNTIF(テーブル33[[#This Row],[ダウンタイム許容度]:[社会影響度]],"H")+2*COUNTIF(テーブル33[[#This Row],[ダウンタイム許容度]:[社会影響度]],"M")+1*COUNTIF(テーブル33[[#This Row],[ダウンタイム許容度]:[社会影響度]],"L")</f>
        <v>3</v>
      </c>
      <c r="AB11" s="52">
        <v>0.5</v>
      </c>
      <c r="AC11" s="53">
        <v>2</v>
      </c>
      <c r="AD11" s="53">
        <v>2</v>
      </c>
      <c r="AE11" s="53">
        <v>3</v>
      </c>
      <c r="AF11" s="53">
        <v>5</v>
      </c>
      <c r="AG11" s="53">
        <v>10</v>
      </c>
      <c r="AH11" s="53">
        <v>14</v>
      </c>
      <c r="AI11" s="53">
        <f>SUM(テーブル33[[#This Row],[点数（データ活用性）]:[点数（IT資産）]])</f>
        <v>36</v>
      </c>
      <c r="AJ11" s="54">
        <f>テーブル33[[#This Row],[点数（データ活用性）]]*テーブル33[[#This Row],[重み]]</f>
        <v>1</v>
      </c>
      <c r="AK11" s="54">
        <f>テーブル33[[#This Row],[点数（アジリティ）]]*テーブル33[[#This Row],[重み]]</f>
        <v>1</v>
      </c>
      <c r="AL11" s="54">
        <f>テーブル33[[#This Row],[点数（スピード）]]*テーブル33[[#This Row],[重み]]</f>
        <v>1.5</v>
      </c>
      <c r="AM11" s="54">
        <f>テーブル33[[#This Row],[点数（利用品質）]]*テーブル33[[#This Row],[重み]]</f>
        <v>2.5</v>
      </c>
      <c r="AN11" s="54">
        <f>テーブル33[[#This Row],[点数（開発品質）]]*テーブル33[[#This Row],[重み]]</f>
        <v>5</v>
      </c>
      <c r="AO11" s="54">
        <f>テーブル33[[#This Row],[点数（IT資産）]]*テーブル33[[#This Row],[重み]]</f>
        <v>7</v>
      </c>
      <c r="AP11" s="53">
        <f>SUM(テーブル33[[#This Row],[点数（データ活用性）×重み]:[点数（IT資産）×重み]])</f>
        <v>18</v>
      </c>
      <c r="AQ11" s="53">
        <v>10</v>
      </c>
      <c r="AR11" s="53">
        <v>10</v>
      </c>
      <c r="AS11" s="53">
        <v>10</v>
      </c>
      <c r="AT11" s="53">
        <v>20</v>
      </c>
      <c r="AU11" s="53">
        <v>20</v>
      </c>
      <c r="AV11" s="53">
        <v>30</v>
      </c>
      <c r="AW11" s="53">
        <f>SUM(テーブル33[[#This Row],[配点（データ活用性）]:[配点（IT資産）]])</f>
        <v>100</v>
      </c>
      <c r="AX11" s="53">
        <f>テーブル33[[#This Row],[配点（データ活用性）]]*テーブル33[[#This Row],[重み]]</f>
        <v>5</v>
      </c>
      <c r="AY11" s="53">
        <f>テーブル33[[#This Row],[配点（アジリティ）]]*テーブル33[[#This Row],[重み]]</f>
        <v>5</v>
      </c>
      <c r="AZ11" s="53">
        <f>テーブル33[[#This Row],[配点（スピード）]]*テーブル33[[#This Row],[重み]]</f>
        <v>5</v>
      </c>
      <c r="BA11" s="53">
        <f>テーブル33[[#This Row],[配点（利用品質）]]*テーブル33[[#This Row],[重み]]</f>
        <v>10</v>
      </c>
      <c r="BB11" s="53">
        <f>テーブル33[[#This Row],[配点（開発品質）]]*テーブル33[[#This Row],[重み]]</f>
        <v>10</v>
      </c>
      <c r="BC11" s="53">
        <f>テーブル33[[#This Row],[配点（IT資産）]]*テーブル33[[#This Row],[重み]]</f>
        <v>15</v>
      </c>
      <c r="BD11" s="53">
        <f>SUM(テーブル33[[#This Row],[配点（データ活用性）×重み]:[配点（IT資産）×重み]])</f>
        <v>50</v>
      </c>
      <c r="BE11" s="53">
        <f>テーブル33[[#This Row],[点数（データ活用性）×重み]]*(テーブル33[[#Totals],[配点（データ活用性）]]/テーブル33[[#Totals],[配点（データ活用性）×重み]])</f>
        <v>0.81818181818181823</v>
      </c>
      <c r="BF11" s="53">
        <f>テーブル33[[#This Row],[点数（アジリティ）×重み]]*(テーブル33[[#Totals],[配点（アジリティ）]]/テーブル33[[#Totals],[配点（アジリティ）×重み]])</f>
        <v>0.84210526315789469</v>
      </c>
      <c r="BG11" s="53">
        <f>テーブル33[[#This Row],[点数（スピード）×重み]]*(テーブル33[[#Totals],[配点（スピード）]]/テーブル33[[#Totals],[配点（スピード）×重み]])</f>
        <v>1.263157894736842</v>
      </c>
      <c r="BH11" s="53">
        <f>テーブル33[[#This Row],[点数（利用品質）×重み]]*(テーブル33[[#Totals],[配点（利用品質）]]/テーブル33[[#Totals],[配点（利用品質）×重み]])</f>
        <v>2.1739130434782608</v>
      </c>
      <c r="BI11" s="53">
        <f>テーブル33[[#This Row],[点数（開発品質）×重み]]*(テーブル33[[#Totals],[配点（開発品質）]]/テーブル33[[#Totals],[配点（開発品質）×重み]])</f>
        <v>4.3478260869565215</v>
      </c>
      <c r="BJ11" s="53">
        <f>テーブル33[[#This Row],[点数（IT資産）×重み]]*(テーブル33[[#Totals],[配点（IT資産）]]/テーブル33[[#Totals],[配点（IT資産）×重み]])</f>
        <v>5.7377049180327866</v>
      </c>
      <c r="BK11" s="53">
        <f>テーブル33[[#This Row],[点数×重み]]*(テーブル33[[#Totals],[配点]]/テーブル33[[#Totals],[配点×重み]])</f>
        <v>15.157894736842104</v>
      </c>
      <c r="BL11" s="53">
        <f>テーブル33[[#This Row],[点数×重み×配点の合計／（配点×重みの合計）]]/テーブル33[[#Totals],[配点]]*100</f>
        <v>1.8947368421052628</v>
      </c>
      <c r="BM11" s="69">
        <f>テーブル33[[#This Row],[配点×重み]]/テーブル33[[#Totals],[配点×重み]]</f>
        <v>5.2631578947368418E-2</v>
      </c>
    </row>
    <row r="12" spans="1:65" s="3" customFormat="1" ht="31.5" customHeight="1">
      <c r="A12" s="121"/>
      <c r="B12" s="55" t="s">
        <v>87</v>
      </c>
      <c r="C12" s="3" t="s">
        <v>133</v>
      </c>
      <c r="J12" s="56"/>
      <c r="K12" s="56"/>
      <c r="L12" s="3" t="s">
        <v>69</v>
      </c>
      <c r="M12" s="3" t="s">
        <v>86</v>
      </c>
      <c r="N12" s="3" t="s">
        <v>82</v>
      </c>
      <c r="O12" s="3" t="s">
        <v>82</v>
      </c>
      <c r="P12" s="3" t="s">
        <v>82</v>
      </c>
      <c r="S12" s="57"/>
      <c r="T12" s="58"/>
      <c r="U12" s="58"/>
      <c r="V12" s="59"/>
      <c r="W12" s="53"/>
      <c r="X12" s="53"/>
      <c r="Y12" s="53"/>
      <c r="AA12" s="52">
        <f>3*COUNTIF(テーブル33[[#This Row],[ダウンタイム許容度]:[社会影響度]],"H")+2*COUNTIF(テーブル33[[#This Row],[ダウンタイム許容度]:[社会影響度]],"M")+1*COUNTIF(テーブル33[[#This Row],[ダウンタイム許容度]:[社会影響度]],"L")</f>
        <v>3</v>
      </c>
      <c r="AB12" s="52">
        <v>0.5</v>
      </c>
      <c r="AC12" s="53">
        <v>4</v>
      </c>
      <c r="AD12" s="53">
        <v>4</v>
      </c>
      <c r="AE12" s="53">
        <v>4</v>
      </c>
      <c r="AF12" s="53">
        <v>6</v>
      </c>
      <c r="AG12" s="53">
        <v>14</v>
      </c>
      <c r="AH12" s="53">
        <v>10</v>
      </c>
      <c r="AI12" s="53">
        <f>SUM(テーブル33[[#This Row],[点数（データ活用性）]:[点数（IT資産）]])</f>
        <v>42</v>
      </c>
      <c r="AJ12" s="54">
        <f>テーブル33[[#This Row],[点数（データ活用性）]]*テーブル33[[#This Row],[重み]]</f>
        <v>2</v>
      </c>
      <c r="AK12" s="54">
        <f>テーブル33[[#This Row],[点数（アジリティ）]]*テーブル33[[#This Row],[重み]]</f>
        <v>2</v>
      </c>
      <c r="AL12" s="54">
        <f>テーブル33[[#This Row],[点数（スピード）]]*テーブル33[[#This Row],[重み]]</f>
        <v>2</v>
      </c>
      <c r="AM12" s="54">
        <f>テーブル33[[#This Row],[点数（利用品質）]]*テーブル33[[#This Row],[重み]]</f>
        <v>3</v>
      </c>
      <c r="AN12" s="54">
        <f>テーブル33[[#This Row],[点数（開発品質）]]*テーブル33[[#This Row],[重み]]</f>
        <v>7</v>
      </c>
      <c r="AO12" s="54">
        <f>テーブル33[[#This Row],[点数（IT資産）]]*テーブル33[[#This Row],[重み]]</f>
        <v>5</v>
      </c>
      <c r="AP12" s="53">
        <f>SUM(テーブル33[[#This Row],[点数（データ活用性）×重み]:[点数（IT資産）×重み]])</f>
        <v>21</v>
      </c>
      <c r="AQ12" s="53">
        <v>10</v>
      </c>
      <c r="AR12" s="53">
        <v>10</v>
      </c>
      <c r="AS12" s="53">
        <v>10</v>
      </c>
      <c r="AT12" s="53">
        <v>20</v>
      </c>
      <c r="AU12" s="53">
        <v>20</v>
      </c>
      <c r="AV12" s="53">
        <v>30</v>
      </c>
      <c r="AW12" s="53">
        <f>SUM(テーブル33[[#This Row],[配点（データ活用性）]:[配点（IT資産）]])</f>
        <v>100</v>
      </c>
      <c r="AX12" s="53">
        <f>テーブル33[[#This Row],[配点（データ活用性）]]*テーブル33[[#This Row],[重み]]</f>
        <v>5</v>
      </c>
      <c r="AY12" s="53">
        <f>テーブル33[[#This Row],[配点（アジリティ）]]*テーブル33[[#This Row],[重み]]</f>
        <v>5</v>
      </c>
      <c r="AZ12" s="53">
        <f>テーブル33[[#This Row],[配点（スピード）]]*テーブル33[[#This Row],[重み]]</f>
        <v>5</v>
      </c>
      <c r="BA12" s="53">
        <f>テーブル33[[#This Row],[配点（利用品質）]]*テーブル33[[#This Row],[重み]]</f>
        <v>10</v>
      </c>
      <c r="BB12" s="53">
        <f>テーブル33[[#This Row],[配点（開発品質）]]*テーブル33[[#This Row],[重み]]</f>
        <v>10</v>
      </c>
      <c r="BC12" s="53">
        <f>テーブル33[[#This Row],[配点（IT資産）]]*テーブル33[[#This Row],[重み]]</f>
        <v>15</v>
      </c>
      <c r="BD12" s="53">
        <f>SUM(テーブル33[[#This Row],[配点（データ活用性）×重み]:[配点（IT資産）×重み]])</f>
        <v>50</v>
      </c>
      <c r="BE12" s="53">
        <f>テーブル33[[#This Row],[点数（データ活用性）×重み]]*(テーブル33[[#Totals],[配点（データ活用性）]]/テーブル33[[#Totals],[配点（データ活用性）×重み]])</f>
        <v>1.6363636363636365</v>
      </c>
      <c r="BF12" s="53">
        <f>テーブル33[[#This Row],[点数（アジリティ）×重み]]*(テーブル33[[#Totals],[配点（アジリティ）]]/テーブル33[[#Totals],[配点（アジリティ）×重み]])</f>
        <v>1.6842105263157894</v>
      </c>
      <c r="BG12" s="53">
        <f>テーブル33[[#This Row],[点数（スピード）×重み]]*(テーブル33[[#Totals],[配点（スピード）]]/テーブル33[[#Totals],[配点（スピード）×重み]])</f>
        <v>1.6842105263157894</v>
      </c>
      <c r="BH12" s="53">
        <f>テーブル33[[#This Row],[点数（利用品質）×重み]]*(テーブル33[[#Totals],[配点（利用品質）]]/テーブル33[[#Totals],[配点（利用品質）×重み]])</f>
        <v>2.6086956521739131</v>
      </c>
      <c r="BI12" s="53">
        <f>テーブル33[[#This Row],[点数（開発品質）×重み]]*(テーブル33[[#Totals],[配点（開発品質）]]/テーブル33[[#Totals],[配点（開発品質）×重み]])</f>
        <v>6.0869565217391299</v>
      </c>
      <c r="BJ12" s="53">
        <f>テーブル33[[#This Row],[点数（IT資産）×重み]]*(テーブル33[[#Totals],[配点（IT資産）]]/テーブル33[[#Totals],[配点（IT資産）×重み]])</f>
        <v>4.0983606557377055</v>
      </c>
      <c r="BK12" s="53">
        <f>テーブル33[[#This Row],[点数×重み]]*(テーブル33[[#Totals],[配点]]/テーブル33[[#Totals],[配点×重み]])</f>
        <v>17.684210526315788</v>
      </c>
      <c r="BL12" s="53">
        <f>テーブル33[[#This Row],[点数×重み×配点の合計／（配点×重みの合計）]]/テーブル33[[#Totals],[配点]]*100</f>
        <v>2.2105263157894735</v>
      </c>
      <c r="BM12" s="69">
        <f>テーブル33[[#This Row],[配点×重み]]/テーブル33[[#Totals],[配点×重み]]</f>
        <v>5.2631578947368418E-2</v>
      </c>
    </row>
    <row r="13" spans="1:65" ht="31.5" customHeight="1">
      <c r="A13" s="68"/>
      <c r="B13" s="20" t="s">
        <v>88</v>
      </c>
      <c r="C13" s="2" t="s">
        <v>89</v>
      </c>
      <c r="D13" s="2" t="s">
        <v>89</v>
      </c>
      <c r="E13" s="2" t="s">
        <v>89</v>
      </c>
      <c r="F13" s="2" t="s">
        <v>89</v>
      </c>
      <c r="G13" s="2" t="s">
        <v>89</v>
      </c>
      <c r="H13" s="2" t="s">
        <v>89</v>
      </c>
      <c r="I13" s="2" t="s">
        <v>89</v>
      </c>
      <c r="J13" s="21" t="s">
        <v>89</v>
      </c>
      <c r="K13" s="21"/>
      <c r="AA13" s="19"/>
      <c r="AB13" s="19"/>
      <c r="AC13" s="19"/>
      <c r="AD13" s="19"/>
      <c r="AE13" s="19"/>
      <c r="AF13" s="19"/>
      <c r="AG13" s="19"/>
      <c r="AH13" s="19"/>
      <c r="AI13" s="22"/>
      <c r="AJ13" s="23"/>
      <c r="AK13" s="23"/>
      <c r="AL13" s="23"/>
      <c r="AM13" s="23"/>
      <c r="AN13" s="23"/>
      <c r="AO13" s="23"/>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70"/>
    </row>
    <row r="14" spans="1:65" s="26" customFormat="1" ht="16.5">
      <c r="A14" s="24"/>
      <c r="B14" s="24" t="s">
        <v>13</v>
      </c>
      <c r="C14" s="24"/>
      <c r="D14" s="24"/>
      <c r="E14" s="24"/>
      <c r="F14" s="24"/>
      <c r="G14" s="24"/>
      <c r="H14" s="24"/>
      <c r="I14" s="24"/>
      <c r="J14" s="24"/>
      <c r="K14" s="24"/>
      <c r="L14" s="24"/>
      <c r="M14" s="24"/>
      <c r="N14" s="24"/>
      <c r="O14" s="24"/>
      <c r="P14" s="24"/>
      <c r="Q14" s="24"/>
      <c r="R14" s="24"/>
      <c r="S14" s="24"/>
      <c r="T14" s="24"/>
      <c r="U14" s="24"/>
      <c r="V14" s="24"/>
      <c r="W14" s="24"/>
      <c r="X14" s="24"/>
      <c r="Y14" s="24"/>
      <c r="Z14" s="24"/>
      <c r="AA14" s="25"/>
      <c r="AB14" s="25"/>
      <c r="AC14" s="24"/>
      <c r="AD14" s="24"/>
      <c r="AE14" s="24"/>
      <c r="AF14" s="24"/>
      <c r="AG14" s="24"/>
      <c r="AH14" s="24"/>
      <c r="AI14" s="24"/>
      <c r="AJ14" s="74"/>
      <c r="AK14" s="74"/>
      <c r="AL14" s="74"/>
      <c r="AM14" s="25"/>
      <c r="AN14" s="25"/>
      <c r="AO14" s="25"/>
      <c r="AP14" s="74"/>
      <c r="AQ14" s="72">
        <f>SUBTOTAL(109,テーブル33[配点（データ活用性）])</f>
        <v>90</v>
      </c>
      <c r="AR14" s="72">
        <f>SUBTOTAL(109,テーブル33[配点（アジリティ）])</f>
        <v>80</v>
      </c>
      <c r="AS14" s="72">
        <f>SUBTOTAL(109,テーブル33[配点（スピード）])</f>
        <v>80</v>
      </c>
      <c r="AT14" s="72">
        <f>SUBTOTAL(109,テーブル33[配点（利用品質）])</f>
        <v>150</v>
      </c>
      <c r="AU14" s="72">
        <f>SUBTOTAL(109,テーブル33[配点（開発品質）])</f>
        <v>150</v>
      </c>
      <c r="AV14" s="72">
        <f>SUBTOTAL(109,テーブル33[配点（IT資産）])</f>
        <v>250</v>
      </c>
      <c r="AW14" s="73">
        <f>SUBTOTAL(109,テーブル33[配点])</f>
        <v>800</v>
      </c>
      <c r="AX14" s="74">
        <f>SUBTOTAL(109,テーブル33[配点（データ活用性）×重み])</f>
        <v>110</v>
      </c>
      <c r="AY14" s="74">
        <f>SUBTOTAL(109,テーブル33[配点（アジリティ）×重み])</f>
        <v>95</v>
      </c>
      <c r="AZ14" s="74">
        <f>SUBTOTAL(109,テーブル33[配点（スピード）×重み])</f>
        <v>95</v>
      </c>
      <c r="BA14" s="74">
        <f>SUBTOTAL(109,テーブル33[配点（利用品質）×重み])</f>
        <v>172.5</v>
      </c>
      <c r="BB14" s="74">
        <f>SUBTOTAL(109,テーブル33[配点（開発品質）×重み])</f>
        <v>172.5</v>
      </c>
      <c r="BC14" s="74">
        <f>SUBTOTAL(109,テーブル33[配点（IT資産）×重み])</f>
        <v>305</v>
      </c>
      <c r="BD14" s="74">
        <f>SUBTOTAL(109,テーブル33[配点×重み])</f>
        <v>950</v>
      </c>
      <c r="BE14" s="75">
        <f>SUBTOTAL(109,テーブル33[点数（データ活用性）　変換後])</f>
        <v>20.945454545454545</v>
      </c>
      <c r="BF14" s="75">
        <f>SUBTOTAL(109,テーブル33[点数（アジリティ）　変換後])</f>
        <v>35.78947368421052</v>
      </c>
      <c r="BG14" s="75">
        <f>SUBTOTAL(109,テーブル33[点数（スピード）　変換後])</f>
        <v>26.586466165413533</v>
      </c>
      <c r="BH14" s="75">
        <f>SUBTOTAL(109,テーブル33[点数（利用品質）　変換後])</f>
        <v>57.478260869565226</v>
      </c>
      <c r="BI14" s="75">
        <f>SUBTOTAL(109,テーブル33[点数（開発品質）　変換後])</f>
        <v>90.782608695652158</v>
      </c>
      <c r="BJ14" s="75">
        <f>SUBTOTAL(109,テーブル33[点数（IT資産）　変換後])</f>
        <v>134.83606557377053</v>
      </c>
      <c r="BK14" s="73">
        <f>SUBTOTAL(109,テーブル33[点数×重み×配点の合計／（配点×重みの合計）])</f>
        <v>366.0390977443609</v>
      </c>
      <c r="BL14" s="76">
        <f>SUM(BL5:BL12)</f>
        <v>45.754887218045113</v>
      </c>
      <c r="BM14" s="71">
        <f>SUM(BM5:BM12)</f>
        <v>1</v>
      </c>
    </row>
    <row r="15" spans="1:65" ht="173.25" customHeight="1">
      <c r="N15" s="121" t="s">
        <v>157</v>
      </c>
      <c r="O15" s="121"/>
      <c r="P15" s="121"/>
      <c r="AB15" s="115" t="s">
        <v>192</v>
      </c>
      <c r="AC15" s="121" t="s">
        <v>164</v>
      </c>
      <c r="AD15" s="121"/>
      <c r="AE15" s="121"/>
      <c r="AF15" s="121"/>
      <c r="AG15" s="121"/>
      <c r="AH15" s="121"/>
      <c r="AQ15" s="121" t="s">
        <v>165</v>
      </c>
      <c r="AR15" s="121"/>
      <c r="AS15" s="121"/>
      <c r="AT15" s="121"/>
      <c r="AU15" s="121"/>
      <c r="AV15" s="121"/>
    </row>
    <row r="16" spans="1:65">
      <c r="A16" s="27"/>
    </row>
    <row r="17" spans="1:1">
      <c r="A17" s="27"/>
    </row>
  </sheetData>
  <mergeCells count="11">
    <mergeCell ref="N15:P15"/>
    <mergeCell ref="AC15:AH15"/>
    <mergeCell ref="AQ15:AV15"/>
    <mergeCell ref="A6:A12"/>
    <mergeCell ref="BE3:BK3"/>
    <mergeCell ref="C3:J3"/>
    <mergeCell ref="AB3:AI3"/>
    <mergeCell ref="AJ3:AP3"/>
    <mergeCell ref="AQ3:AW3"/>
    <mergeCell ref="AX3:BD3"/>
    <mergeCell ref="L3:AA3"/>
  </mergeCells>
  <phoneticPr fontId="7"/>
  <dataValidations count="3">
    <dataValidation allowBlank="1" showInputMessage="1" showErrorMessage="1" prompt="開発／ビルド／テストツール・フレームワーク・方法論は何を使用しているか。" sqref="H4" xr:uid="{981C06F6-E3EF-4037-9E60-2B9D94D4581A}"/>
    <dataValidation allowBlank="1" showInputMessage="1" showErrorMessage="1" prompt="ITシステム導入時期または直近の全面更改した時期はいつか。（開発時の技術トレンド、開発手法のトレンド把握のため）。" sqref="J4:K4" xr:uid="{61528601-445F-4025-8088-EB445CDC683D}"/>
    <dataValidation allowBlank="1" showInputMessage="1" showErrorMessage="1" prompt="別シートの集計結果を転記する（IT資産の要件）" sqref="AI4" xr:uid="{AA137490-61C0-4EFC-AE37-69F2D8307EAD}"/>
  </dataValidations>
  <pageMargins left="0.23622047244094491" right="0.23622047244094491" top="0.74803149606299213" bottom="0.74803149606299213" header="0.31496062992125984" footer="0.31496062992125984"/>
  <pageSetup paperSize="9" scale="50" orientation="landscape" r:id="rId1"/>
  <headerFooter>
    <oddHeader>&amp;L&amp;A&amp;R&amp;F</oddHeader>
    <oddFooter>&amp;P / &amp;N ページ</oddFooter>
  </headerFooter>
  <colBreaks count="1" manualBreakCount="1">
    <brk id="11" max="1048575" man="1"/>
  </colBreaks>
  <tableParts count="1">
    <tablePart r:id="rId2"/>
  </tableParts>
  <extLst>
    <ext xmlns:x14="http://schemas.microsoft.com/office/spreadsheetml/2009/9/main" uri="{CCE6A557-97BC-4b89-ADB6-D9C93CAAB3DF}">
      <x14:dataValidations xmlns:xm="http://schemas.microsoft.com/office/excel/2006/main" count="6">
        <x14:dataValidation type="list" allowBlank="1" showInputMessage="1" showErrorMessage="1" xr:uid="{AE8F8C4B-3407-43A9-A2BB-27125B586ADE}">
          <x14:formula1>
            <xm:f>リスト!$B$2:$B$5</xm:f>
          </x14:formula1>
          <xm:sqref>M5:M13</xm:sqref>
        </x14:dataValidation>
        <x14:dataValidation type="list" allowBlank="1" showInputMessage="1" showErrorMessage="1" xr:uid="{A285C19E-19FC-4231-83EA-8A01AEDAF8C4}">
          <x14:formula1>
            <xm:f>リスト!$A$2:$A$4</xm:f>
          </x14:formula1>
          <xm:sqref>L5:L13</xm:sqref>
        </x14:dataValidation>
        <x14:dataValidation type="list" allowBlank="1" showInputMessage="1" showErrorMessage="1" xr:uid="{2FC620A6-27CB-41C0-B9F7-71238A55A5BB}">
          <x14:formula1>
            <xm:f>リスト!$C$2:$C$5</xm:f>
          </x14:formula1>
          <xm:sqref>N5:N13</xm:sqref>
        </x14:dataValidation>
        <x14:dataValidation type="list" allowBlank="1" showInputMessage="1" showErrorMessage="1" xr:uid="{A4286C37-D93C-481C-946B-CE42CDE30E77}">
          <x14:formula1>
            <xm:f>リスト!$E$2:$E$5</xm:f>
          </x14:formula1>
          <xm:sqref>P5:P13</xm:sqref>
        </x14:dataValidation>
        <x14:dataValidation type="list" allowBlank="1" showInputMessage="1" showErrorMessage="1" xr:uid="{6A298454-B299-44AD-882D-08158A2D10F3}">
          <x14:formula1>
            <xm:f>リスト!$D$2:$D$5</xm:f>
          </x14:formula1>
          <xm:sqref>O5:O13</xm:sqref>
        </x14:dataValidation>
        <x14:dataValidation type="list" allowBlank="1" showInputMessage="1" showErrorMessage="1" xr:uid="{3066D18F-F552-4284-A809-D9E5490F4B5E}">
          <x14:formula1>
            <xm:f>リスト!$G$2:$G$6</xm:f>
          </x14:formula1>
          <xm:sqref>AB5:AB13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2F2C2-030F-45A0-B2E2-CDDF0BABB3E7}">
  <sheetPr>
    <pageSetUpPr fitToPage="1"/>
  </sheetPr>
  <dimension ref="A1:Q27"/>
  <sheetViews>
    <sheetView workbookViewId="0"/>
  </sheetViews>
  <sheetFormatPr defaultRowHeight="15.75"/>
  <cols>
    <col min="1" max="1" width="12.875" style="1" customWidth="1"/>
    <col min="2" max="2" width="14.625" style="1" customWidth="1"/>
    <col min="3" max="3" width="14.875" style="1" bestFit="1" customWidth="1"/>
    <col min="4" max="4" width="0" style="1" hidden="1" customWidth="1"/>
    <col min="5" max="5" width="9" style="1"/>
    <col min="6" max="6" width="0" style="1" hidden="1" customWidth="1"/>
    <col min="7" max="7" width="9" style="1"/>
    <col min="8" max="8" width="9.375" style="1" hidden="1" customWidth="1"/>
    <col min="9" max="9" width="9.375" style="1" bestFit="1" customWidth="1"/>
    <col min="10" max="10" width="13.5" style="1" customWidth="1"/>
    <col min="11" max="16384" width="9" style="1"/>
  </cols>
  <sheetData>
    <row r="1" spans="1:17" s="3" customFormat="1" ht="15.75" customHeight="1">
      <c r="A1" s="3" t="s">
        <v>93</v>
      </c>
      <c r="C1" s="33" t="s">
        <v>1</v>
      </c>
      <c r="D1" s="34" t="str">
        <f>E1</f>
        <v>割合（%）</v>
      </c>
      <c r="E1" s="42" t="s">
        <v>91</v>
      </c>
      <c r="F1" s="43" t="str">
        <f>G1</f>
        <v>点数</v>
      </c>
      <c r="G1" s="42" t="s">
        <v>16</v>
      </c>
      <c r="H1" s="43" t="s">
        <v>2</v>
      </c>
      <c r="I1" s="42" t="s">
        <v>2</v>
      </c>
      <c r="J1" s="63"/>
      <c r="K1" s="8" t="s">
        <v>166</v>
      </c>
      <c r="L1" s="1"/>
      <c r="M1" s="1"/>
      <c r="N1" s="1"/>
      <c r="O1" s="1"/>
      <c r="P1" s="1"/>
      <c r="Q1" s="1"/>
    </row>
    <row r="2" spans="1:17" ht="15.75" customHeight="1">
      <c r="A2" s="141" t="s">
        <v>3</v>
      </c>
      <c r="B2" s="142"/>
      <c r="C2" s="35" t="s">
        <v>4</v>
      </c>
      <c r="D2" s="147">
        <f>F2/H2</f>
        <v>0.33328557758031441</v>
      </c>
      <c r="E2" s="36">
        <f>IF(I2=0,0,G2/I2)</f>
        <v>0.23272727272727273</v>
      </c>
      <c r="F2" s="150">
        <f>SUM(G2:G4)</f>
        <v>83.321394395078599</v>
      </c>
      <c r="G2" s="62">
        <f>$K$3</f>
        <v>20.945454545454545</v>
      </c>
      <c r="H2" s="153">
        <f>SUM(I2:I4)</f>
        <v>250</v>
      </c>
      <c r="I2" s="64">
        <f>$K$2</f>
        <v>90</v>
      </c>
      <c r="J2" s="60"/>
      <c r="K2" s="38">
        <f>'3-1．機能システム一覧 (記入例)'!AQ14</f>
        <v>90</v>
      </c>
      <c r="L2" s="38">
        <f>'3-1．機能システム一覧 (記入例)'!AR14</f>
        <v>80</v>
      </c>
      <c r="M2" s="38">
        <f>'3-1．機能システム一覧 (記入例)'!AS14</f>
        <v>80</v>
      </c>
      <c r="N2" s="38">
        <f>'3-1．機能システム一覧 (記入例)'!AT14</f>
        <v>150</v>
      </c>
      <c r="O2" s="38">
        <f>'3-1．機能システム一覧 (記入例)'!AU14</f>
        <v>150</v>
      </c>
      <c r="P2" s="38">
        <f>'3-1．機能システム一覧 (記入例)'!AV14</f>
        <v>250</v>
      </c>
    </row>
    <row r="3" spans="1:17">
      <c r="A3" s="143"/>
      <c r="B3" s="144"/>
      <c r="C3" s="35" t="s">
        <v>5</v>
      </c>
      <c r="D3" s="148"/>
      <c r="E3" s="36">
        <f t="shared" ref="E3:E7" si="0">IF(I3=0,0,G3/I3)</f>
        <v>0.44736842105263153</v>
      </c>
      <c r="F3" s="151"/>
      <c r="G3" s="62">
        <f>$L$3</f>
        <v>35.78947368421052</v>
      </c>
      <c r="H3" s="154"/>
      <c r="I3" s="64">
        <f>$L$2</f>
        <v>80</v>
      </c>
      <c r="J3" s="60"/>
      <c r="K3" s="61">
        <f>'3-1．機能システム一覧 (記入例)'!BE14</f>
        <v>20.945454545454545</v>
      </c>
      <c r="L3" s="61">
        <f>'3-1．機能システム一覧 (記入例)'!BF14</f>
        <v>35.78947368421052</v>
      </c>
      <c r="M3" s="61">
        <f>'3-1．機能システム一覧 (記入例)'!BG14</f>
        <v>26.586466165413533</v>
      </c>
      <c r="N3" s="61">
        <f>'3-1．機能システム一覧 (記入例)'!BH14</f>
        <v>57.478260869565226</v>
      </c>
      <c r="O3" s="61">
        <f>'3-1．機能システム一覧 (記入例)'!BI14</f>
        <v>90.782608695652158</v>
      </c>
      <c r="P3" s="61">
        <f>'3-1．機能システム一覧 (記入例)'!BJ14</f>
        <v>134.83606557377053</v>
      </c>
    </row>
    <row r="4" spans="1:17">
      <c r="A4" s="145"/>
      <c r="B4" s="146"/>
      <c r="C4" s="35" t="s">
        <v>6</v>
      </c>
      <c r="D4" s="149"/>
      <c r="E4" s="36">
        <f t="shared" si="0"/>
        <v>0.33233082706766914</v>
      </c>
      <c r="F4" s="152"/>
      <c r="G4" s="62">
        <f>$M$3</f>
        <v>26.586466165413533</v>
      </c>
      <c r="H4" s="155"/>
      <c r="I4" s="64">
        <f>$M$2</f>
        <v>80</v>
      </c>
      <c r="J4" s="60"/>
    </row>
    <row r="5" spans="1:17" ht="15.75" customHeight="1">
      <c r="A5" s="157" t="s">
        <v>7</v>
      </c>
      <c r="B5" s="156" t="s">
        <v>187</v>
      </c>
      <c r="C5" s="35" t="s">
        <v>8</v>
      </c>
      <c r="D5" s="147">
        <f>F5/H5</f>
        <v>0.49420289855072458</v>
      </c>
      <c r="E5" s="36">
        <f t="shared" si="0"/>
        <v>0.38318840579710151</v>
      </c>
      <c r="F5" s="150">
        <f>SUM(G5:G6)</f>
        <v>148.26086956521738</v>
      </c>
      <c r="G5" s="62">
        <f>$N$3</f>
        <v>57.478260869565226</v>
      </c>
      <c r="H5" s="153">
        <f>SUM(I5:I6)</f>
        <v>300</v>
      </c>
      <c r="I5" s="64">
        <f>$N$2</f>
        <v>150</v>
      </c>
      <c r="J5" s="60"/>
    </row>
    <row r="6" spans="1:17">
      <c r="A6" s="157"/>
      <c r="B6" s="158"/>
      <c r="C6" s="35" t="s">
        <v>9</v>
      </c>
      <c r="D6" s="149"/>
      <c r="E6" s="36">
        <f t="shared" si="0"/>
        <v>0.60521739130434771</v>
      </c>
      <c r="F6" s="152"/>
      <c r="G6" s="62">
        <f>$O$3</f>
        <v>90.782608695652158</v>
      </c>
      <c r="H6" s="155"/>
      <c r="I6" s="64">
        <f>$O$2</f>
        <v>150</v>
      </c>
      <c r="J6" s="60"/>
    </row>
    <row r="7" spans="1:17">
      <c r="A7" s="157"/>
      <c r="B7" s="4" t="s">
        <v>10</v>
      </c>
      <c r="C7" s="35" t="s">
        <v>10</v>
      </c>
      <c r="D7" s="36">
        <f>F7/H7</f>
        <v>0.53934426229508214</v>
      </c>
      <c r="E7" s="36">
        <f t="shared" si="0"/>
        <v>0.53934426229508214</v>
      </c>
      <c r="F7" s="39">
        <f>SUM(G7)</f>
        <v>134.83606557377053</v>
      </c>
      <c r="G7" s="62">
        <f>$P$3</f>
        <v>134.83606557377053</v>
      </c>
      <c r="H7" s="41">
        <f>SUM(I7)</f>
        <v>250</v>
      </c>
      <c r="I7" s="64">
        <f>$P$2</f>
        <v>250</v>
      </c>
      <c r="J7" s="60"/>
    </row>
    <row r="8" spans="1:17" hidden="1">
      <c r="A8" s="5" t="s">
        <v>11</v>
      </c>
      <c r="B8" s="6"/>
      <c r="C8" s="7"/>
      <c r="D8" s="30"/>
      <c r="E8" s="31"/>
      <c r="F8" s="40"/>
      <c r="G8" s="65">
        <f>SUM(G2:G4)</f>
        <v>83.321394395078599</v>
      </c>
      <c r="H8" s="66"/>
      <c r="I8" s="67">
        <f>SUM(I2:I4)</f>
        <v>250</v>
      </c>
    </row>
    <row r="9" spans="1:17" hidden="1">
      <c r="A9" s="5" t="s">
        <v>12</v>
      </c>
      <c r="B9" s="6"/>
      <c r="C9" s="7"/>
      <c r="D9" s="30"/>
      <c r="E9" s="31"/>
      <c r="F9" s="40"/>
      <c r="G9" s="65">
        <f>SUM(G5:G7)</f>
        <v>283.09693513898787</v>
      </c>
      <c r="H9" s="66"/>
      <c r="I9" s="67">
        <f>SUM(I5:I7)</f>
        <v>550</v>
      </c>
    </row>
    <row r="10" spans="1:17">
      <c r="A10" s="5" t="s">
        <v>13</v>
      </c>
      <c r="B10" s="6"/>
      <c r="C10" s="7"/>
      <c r="D10" s="30"/>
      <c r="E10" s="31"/>
      <c r="F10" s="40"/>
      <c r="G10" s="65">
        <f>SUM(G2:G7)</f>
        <v>366.41832953406652</v>
      </c>
      <c r="H10" s="66"/>
      <c r="I10" s="67">
        <f>SUM(I2:I7)</f>
        <v>800</v>
      </c>
    </row>
    <row r="11" spans="1:17">
      <c r="C11" s="37"/>
      <c r="I11" s="8"/>
    </row>
    <row r="13" spans="1:17">
      <c r="L13" s="159" t="s">
        <v>152</v>
      </c>
      <c r="M13" s="160"/>
      <c r="N13" s="161"/>
    </row>
    <row r="14" spans="1:17">
      <c r="L14" s="129" t="s">
        <v>154</v>
      </c>
      <c r="M14" s="130"/>
      <c r="N14" s="131"/>
      <c r="O14" s="128" t="s">
        <v>153</v>
      </c>
      <c r="P14" s="121"/>
    </row>
    <row r="15" spans="1:17">
      <c r="L15" s="132"/>
      <c r="M15" s="133"/>
      <c r="N15" s="134"/>
      <c r="O15" s="128"/>
      <c r="P15" s="121"/>
    </row>
    <row r="16" spans="1:17">
      <c r="L16" s="132"/>
      <c r="M16" s="133"/>
      <c r="N16" s="134"/>
      <c r="O16" s="128"/>
      <c r="P16" s="121"/>
    </row>
    <row r="17" spans="12:16">
      <c r="L17" s="132"/>
      <c r="M17" s="133"/>
      <c r="N17" s="134"/>
      <c r="O17" s="128"/>
      <c r="P17" s="121"/>
    </row>
    <row r="18" spans="12:16">
      <c r="L18" s="132"/>
      <c r="M18" s="133"/>
      <c r="N18" s="134"/>
      <c r="O18" s="128"/>
      <c r="P18" s="121"/>
    </row>
    <row r="19" spans="12:16">
      <c r="L19" s="132"/>
      <c r="M19" s="133"/>
      <c r="N19" s="134"/>
      <c r="O19" s="128"/>
      <c r="P19" s="121"/>
    </row>
    <row r="20" spans="12:16">
      <c r="L20" s="132"/>
      <c r="M20" s="133"/>
      <c r="N20" s="134"/>
      <c r="O20" s="128"/>
      <c r="P20" s="121"/>
    </row>
    <row r="21" spans="12:16">
      <c r="L21" s="132"/>
      <c r="M21" s="133"/>
      <c r="N21" s="134"/>
      <c r="O21" s="128"/>
      <c r="P21" s="121"/>
    </row>
    <row r="22" spans="12:16">
      <c r="L22" s="132"/>
      <c r="M22" s="133"/>
      <c r="N22" s="134"/>
      <c r="O22" s="128"/>
      <c r="P22" s="121"/>
    </row>
    <row r="23" spans="12:16">
      <c r="L23" s="132"/>
      <c r="M23" s="133"/>
      <c r="N23" s="134"/>
      <c r="O23" s="128"/>
      <c r="P23" s="121"/>
    </row>
    <row r="24" spans="12:16">
      <c r="L24" s="132"/>
      <c r="M24" s="133"/>
      <c r="N24" s="134"/>
      <c r="O24" s="128"/>
      <c r="P24" s="121"/>
    </row>
    <row r="25" spans="12:16">
      <c r="L25" s="132"/>
      <c r="M25" s="133"/>
      <c r="N25" s="134"/>
      <c r="O25" s="128"/>
      <c r="P25" s="121"/>
    </row>
    <row r="26" spans="12:16">
      <c r="L26" s="132"/>
      <c r="M26" s="133"/>
      <c r="N26" s="134"/>
      <c r="O26" s="128"/>
      <c r="P26" s="121"/>
    </row>
    <row r="27" spans="12:16">
      <c r="L27" s="135"/>
      <c r="M27" s="136"/>
      <c r="N27" s="137"/>
      <c r="O27" s="128"/>
      <c r="P27" s="121"/>
    </row>
  </sheetData>
  <mergeCells count="12">
    <mergeCell ref="O14:P27"/>
    <mergeCell ref="L14:N27"/>
    <mergeCell ref="L13:N13"/>
    <mergeCell ref="A2:B4"/>
    <mergeCell ref="D2:D4"/>
    <mergeCell ref="F2:F4"/>
    <mergeCell ref="H2:H4"/>
    <mergeCell ref="A5:A7"/>
    <mergeCell ref="B5:B6"/>
    <mergeCell ref="D5:D6"/>
    <mergeCell ref="F5:F6"/>
    <mergeCell ref="H5:H6"/>
  </mergeCells>
  <phoneticPr fontId="7"/>
  <pageMargins left="0.23622047244094491" right="0.23622047244094491" top="0.74803149606299213" bottom="0.74803149606299213" header="0.31496062992125984" footer="0.31496062992125984"/>
  <pageSetup paperSize="9" scale="76" orientation="landscape" r:id="rId1"/>
  <headerFooter>
    <oddHeader>&amp;L&amp;A&amp;R&amp;F</oddHeader>
    <oddFooter>&amp;P / &amp;N ページ</oddFooter>
  </headerFooter>
  <ignoredErrors>
    <ignoredError sqref="G2:G7" 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FE2EF-83D9-4D43-A3AB-323E4B70E172}">
  <dimension ref="A1:B4"/>
  <sheetViews>
    <sheetView workbookViewId="0"/>
  </sheetViews>
  <sheetFormatPr defaultRowHeight="15.75"/>
  <cols>
    <col min="1" max="1" width="9" style="1"/>
    <col min="2" max="2" width="76.5" style="1" customWidth="1"/>
    <col min="3" max="16384" width="9" style="1"/>
  </cols>
  <sheetData>
    <row r="1" spans="1:2" ht="19.5">
      <c r="A1" s="99" t="s">
        <v>182</v>
      </c>
    </row>
    <row r="2" spans="1:2" ht="90.75" customHeight="1">
      <c r="B2" s="112" t="s">
        <v>183</v>
      </c>
    </row>
    <row r="3" spans="1:2" ht="18.75" customHeight="1">
      <c r="A3" s="27" t="s">
        <v>184</v>
      </c>
      <c r="B3" s="112"/>
    </row>
    <row r="4" spans="1:2" ht="349.5" customHeight="1">
      <c r="B4" s="112" t="s">
        <v>186</v>
      </c>
    </row>
  </sheetData>
  <phoneticPr fontId="7"/>
  <pageMargins left="0.7" right="0.7" top="0.75" bottom="0.75" header="0.3" footer="0.3"/>
  <pageSetup paperSize="9" scale="80" fitToHeight="0" orientation="landscape" r:id="rId1"/>
  <headerFooter>
    <oddHeader>&amp;C&amp;F</oddHeader>
    <oddFooter>&amp;P / &amp;N ページ</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E925A-8C6B-4062-B094-A8B98151713B}">
  <sheetPr>
    <pageSetUpPr fitToPage="1"/>
  </sheetPr>
  <dimension ref="A1:D5"/>
  <sheetViews>
    <sheetView workbookViewId="0"/>
  </sheetViews>
  <sheetFormatPr defaultRowHeight="15.75"/>
  <cols>
    <col min="1" max="2" width="9" style="1"/>
    <col min="3" max="3" width="17" style="100" bestFit="1" customWidth="1"/>
    <col min="4" max="4" width="54.25" style="1" customWidth="1"/>
    <col min="5" max="16384" width="9" style="1"/>
  </cols>
  <sheetData>
    <row r="1" spans="1:4" ht="19.5">
      <c r="A1" s="99" t="s">
        <v>169</v>
      </c>
    </row>
    <row r="3" spans="1:4">
      <c r="B3" s="101" t="s">
        <v>170</v>
      </c>
      <c r="C3" s="102" t="s">
        <v>171</v>
      </c>
      <c r="D3" s="101" t="s">
        <v>172</v>
      </c>
    </row>
    <row r="4" spans="1:4">
      <c r="B4" s="114" t="s">
        <v>181</v>
      </c>
      <c r="C4" s="113">
        <v>44466</v>
      </c>
      <c r="D4" s="103" t="s">
        <v>173</v>
      </c>
    </row>
    <row r="5" spans="1:4">
      <c r="B5" s="114" t="s">
        <v>190</v>
      </c>
      <c r="C5" s="113">
        <v>45061</v>
      </c>
      <c r="D5" s="103" t="s">
        <v>193</v>
      </c>
    </row>
  </sheetData>
  <phoneticPr fontId="7"/>
  <pageMargins left="0.23622047244094491" right="0.23622047244094491" top="0.74803149606299213" bottom="0.74803149606299213" header="0.31496062992125984" footer="0.31496062992125984"/>
  <pageSetup paperSize="9" orientation="landscape" r:id="rId1"/>
  <headerFooter>
    <oddHeader>&amp;L&amp;A&amp;R&amp;F</oddHead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リスト</vt:lpstr>
      <vt:lpstr>表紙</vt:lpstr>
      <vt:lpstr>はじめに</vt:lpstr>
      <vt:lpstr>3-1．機能システム一覧 </vt:lpstr>
      <vt:lpstr>3-2．評価結果　総合評価</vt:lpstr>
      <vt:lpstr>3-1．機能システム一覧 (記入例)</vt:lpstr>
      <vt:lpstr>3-2．評価結果　総合評価 (記入例)</vt:lpstr>
      <vt:lpstr>利用許諾</vt:lpstr>
      <vt:lpstr>改版履歴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2020-08-28T08:17:37Z</dcterms:created>
  <dcterms:modified xsi:type="dcterms:W3CDTF">2023-05-11T07:05:45Z</dcterms:modified>
</cp:coreProperties>
</file>